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0395" windowHeight="9120" tabRatio="720"/>
  </bookViews>
  <sheets>
    <sheet name="1. охват орг. питанием" sheetId="1" r:id="rId1"/>
    <sheet name="2. охват без предв. заяв." sheetId="2" r:id="rId2"/>
    <sheet name="3. Бесплатное питание" sheetId="3" r:id="rId3"/>
    <sheet name="4. показатели эффективности" sheetId="4" r:id="rId4"/>
    <sheet name="5. эффективность  питания" sheetId="5" r:id="rId5"/>
    <sheet name="6. Цена" sheetId="6" r:id="rId6"/>
  </sheets>
  <externalReferences>
    <externalReference r:id="rId7"/>
  </externalReferences>
  <definedNames>
    <definedName name="_xlnm._FilterDatabase" localSheetId="0" hidden="1">'1. охват орг. питанием'!$A$6:$X$30</definedName>
    <definedName name="_xlnm._FilterDatabase" localSheetId="1" hidden="1">'2. охват без предв. заяв.'!$A$6:$X$29</definedName>
    <definedName name="_xlnm._FilterDatabase" localSheetId="2" hidden="1">'3. Бесплатное питание'!$A$6:$AS$29</definedName>
    <definedName name="Z_F5FAE67C_CEE2_4A2A_9069_07B5744A8E99_.wvu.FilterData" localSheetId="0" hidden="1">'1. охват орг. питанием'!$A$6:$X$30</definedName>
    <definedName name="Z_F5FAE67C_CEE2_4A2A_9069_07B5744A8E99_.wvu.FilterData" localSheetId="1" hidden="1">'2. охват без предв. заяв.'!$A$6:$X$29</definedName>
    <definedName name="Z_F5FAE67C_CEE2_4A2A_9069_07B5744A8E99_.wvu.FilterData" localSheetId="2" hidden="1">'3. Бесплатное питание'!$A$6:$AS$29</definedName>
  </definedNames>
  <calcPr calcId="144525" refMode="R1C1"/>
  <customWorkbookViews>
    <customWorkbookView name="shvedova-av - Личное представление" guid="{F5FAE67C-CEE2-4A2A-9069-07B5744A8E99}" mergeInterval="0" personalView="1" maximized="1" xWindow="1" yWindow="1" windowWidth="1436" windowHeight="679" tabRatio="720" activeSheetId="6"/>
  </customWorkbookViews>
</workbook>
</file>

<file path=xl/calcChain.xml><?xml version="1.0" encoding="utf-8"?>
<calcChain xmlns="http://schemas.openxmlformats.org/spreadsheetml/2006/main">
  <c r="X24" i="3" l="1"/>
  <c r="W24" i="3"/>
  <c r="W21" i="3"/>
  <c r="X21" i="3"/>
  <c r="X16" i="3"/>
  <c r="W16" i="3"/>
  <c r="X13" i="3"/>
  <c r="W13" i="3"/>
  <c r="X12" i="3"/>
  <c r="W12" i="3"/>
  <c r="X7" i="3"/>
  <c r="W7" i="3"/>
  <c r="N27" i="3"/>
  <c r="N24" i="3"/>
  <c r="N22" i="3"/>
  <c r="N21" i="3"/>
  <c r="N19" i="3"/>
  <c r="M19" i="3"/>
  <c r="N16" i="3"/>
  <c r="N13" i="3"/>
  <c r="N12" i="3"/>
  <c r="N10" i="3"/>
  <c r="N7" i="3"/>
  <c r="G24" i="3"/>
  <c r="G22" i="3"/>
  <c r="G21" i="3"/>
  <c r="G19" i="3"/>
  <c r="G16" i="3"/>
  <c r="G13" i="3"/>
  <c r="G12" i="3"/>
  <c r="G10" i="3"/>
  <c r="G7" i="3"/>
  <c r="F27" i="3"/>
  <c r="F24" i="3"/>
  <c r="F22" i="3"/>
  <c r="F21" i="3"/>
  <c r="F19" i="3"/>
  <c r="F16" i="3"/>
  <c r="F13" i="3"/>
  <c r="F12" i="3"/>
  <c r="F10" i="3"/>
  <c r="F7" i="3"/>
  <c r="H21" i="2"/>
  <c r="H19" i="2"/>
  <c r="F27" i="2"/>
  <c r="F24" i="2"/>
  <c r="F22" i="2"/>
  <c r="F16" i="2"/>
  <c r="H19" i="1"/>
  <c r="F16" i="1"/>
  <c r="E27" i="3" l="1"/>
  <c r="E24" i="3"/>
  <c r="E22" i="3"/>
  <c r="E21" i="3"/>
  <c r="E19" i="3"/>
  <c r="E16" i="3" l="1"/>
  <c r="E13" i="3"/>
  <c r="E12" i="3"/>
  <c r="E10" i="3"/>
  <c r="E7" i="3"/>
  <c r="E27" i="2"/>
  <c r="E24" i="2"/>
  <c r="E22" i="2"/>
  <c r="E21" i="2"/>
  <c r="E19" i="2"/>
  <c r="E16" i="2"/>
  <c r="E13" i="2"/>
  <c r="E12" i="2"/>
  <c r="E10" i="2"/>
  <c r="E7" i="2"/>
  <c r="E27" i="1" l="1"/>
  <c r="E24" i="1"/>
  <c r="E22" i="1"/>
  <c r="E21" i="1"/>
  <c r="E19" i="1"/>
  <c r="E16" i="1"/>
  <c r="E13" i="1"/>
  <c r="E12" i="1"/>
  <c r="E10" i="1"/>
  <c r="E7" i="1"/>
  <c r="AS27" i="3" l="1"/>
  <c r="AS26" i="3"/>
  <c r="AS24" i="3"/>
  <c r="AS23" i="3"/>
  <c r="AS22" i="3"/>
  <c r="AS21" i="3"/>
  <c r="AS20" i="3"/>
  <c r="AS19" i="3"/>
  <c r="AS18" i="3"/>
  <c r="AS17" i="3"/>
  <c r="AS16" i="3"/>
  <c r="AS14" i="3"/>
  <c r="AS13" i="3"/>
  <c r="AS12" i="3"/>
  <c r="AS11" i="3"/>
  <c r="AS10" i="3"/>
  <c r="AS9" i="3"/>
  <c r="AS8" i="3"/>
  <c r="AS7" i="3"/>
  <c r="AQ27" i="3"/>
  <c r="AQ26" i="3"/>
  <c r="AQ24" i="3"/>
  <c r="AQ23" i="3"/>
  <c r="AQ22" i="3"/>
  <c r="AQ21" i="3"/>
  <c r="AQ20" i="3"/>
  <c r="AQ19" i="3"/>
  <c r="AQ18" i="3"/>
  <c r="AQ17" i="3"/>
  <c r="AQ16" i="3"/>
  <c r="AQ14" i="3"/>
  <c r="AQ13" i="3"/>
  <c r="AQ12" i="3"/>
  <c r="AQ11" i="3"/>
  <c r="AQ10" i="3"/>
  <c r="AQ9" i="3"/>
  <c r="AQ8" i="3"/>
  <c r="AQ7" i="3"/>
  <c r="AO27" i="3"/>
  <c r="AO26" i="3"/>
  <c r="AO24" i="3"/>
  <c r="AO23" i="3"/>
  <c r="AO22" i="3"/>
  <c r="AO21" i="3"/>
  <c r="AO20" i="3"/>
  <c r="AO19" i="3"/>
  <c r="AO18" i="3"/>
  <c r="AO17" i="3"/>
  <c r="AO16" i="3"/>
  <c r="AO14" i="3"/>
  <c r="AO13" i="3"/>
  <c r="AO12" i="3"/>
  <c r="AO11" i="3"/>
  <c r="AO10" i="3"/>
  <c r="AO9" i="3"/>
  <c r="AO8" i="3"/>
  <c r="AO7" i="3"/>
  <c r="AG27" i="3"/>
  <c r="AG26" i="3"/>
  <c r="AG24" i="3"/>
  <c r="AG23" i="3"/>
  <c r="AG22" i="3"/>
  <c r="AG21" i="3"/>
  <c r="AG20" i="3"/>
  <c r="AG19" i="3"/>
  <c r="AG18" i="3"/>
  <c r="AG17" i="3"/>
  <c r="AG16" i="3"/>
  <c r="AG14" i="3"/>
  <c r="AG13" i="3"/>
  <c r="AG12" i="3"/>
  <c r="AG11" i="3"/>
  <c r="AG10" i="3"/>
  <c r="AG9" i="3"/>
  <c r="AG8" i="3"/>
  <c r="AG7" i="3"/>
  <c r="AE27" i="3"/>
  <c r="AE26" i="3"/>
  <c r="AE24" i="3"/>
  <c r="AE23" i="3"/>
  <c r="AE22" i="3"/>
  <c r="AE21" i="3"/>
  <c r="AE20" i="3"/>
  <c r="AE19" i="3"/>
  <c r="AE18" i="3"/>
  <c r="AE17" i="3"/>
  <c r="AE16" i="3"/>
  <c r="AE14" i="3"/>
  <c r="AE13" i="3"/>
  <c r="AE12" i="3"/>
  <c r="AE11" i="3"/>
  <c r="AE10" i="3"/>
  <c r="AE9" i="3"/>
  <c r="AE8" i="3"/>
  <c r="AE7" i="3"/>
  <c r="AC27" i="3"/>
  <c r="AC26" i="3"/>
  <c r="AC24" i="3"/>
  <c r="AC23" i="3"/>
  <c r="AC22" i="3"/>
  <c r="AC21" i="3"/>
  <c r="AC20" i="3"/>
  <c r="AC19" i="3"/>
  <c r="AC18" i="3"/>
  <c r="AC17" i="3"/>
  <c r="AC16" i="3"/>
  <c r="AC14" i="3"/>
  <c r="AC13" i="3"/>
  <c r="AC12" i="3"/>
  <c r="AC11" i="3"/>
  <c r="AC10" i="3"/>
  <c r="AC9" i="3"/>
  <c r="AC8" i="3"/>
  <c r="AC7" i="3"/>
  <c r="Y27" i="3"/>
  <c r="Y26" i="3"/>
  <c r="Y24" i="3"/>
  <c r="Y23" i="3"/>
  <c r="Y22" i="3"/>
  <c r="Y21" i="3"/>
  <c r="Y20" i="3"/>
  <c r="Y19" i="3"/>
  <c r="Y18" i="3"/>
  <c r="Y17" i="3"/>
  <c r="Y16" i="3"/>
  <c r="Y14" i="3"/>
  <c r="Y13" i="3"/>
  <c r="Y12" i="3"/>
  <c r="Y11" i="3"/>
  <c r="Y10" i="3"/>
  <c r="Y9" i="3"/>
  <c r="Y8" i="3"/>
  <c r="Y7" i="3"/>
  <c r="M27" i="1"/>
  <c r="M26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7" i="1"/>
  <c r="K27" i="1"/>
  <c r="K26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I27" i="1"/>
  <c r="I26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6" i="1"/>
  <c r="G27" i="1"/>
  <c r="G7" i="1"/>
  <c r="K27" i="2"/>
  <c r="K26" i="2"/>
  <c r="K24" i="2"/>
  <c r="K23" i="2"/>
  <c r="K22" i="2"/>
  <c r="K21" i="2"/>
  <c r="K20" i="2"/>
  <c r="K19" i="2"/>
  <c r="K18" i="2"/>
  <c r="K17" i="2"/>
  <c r="K16" i="2"/>
  <c r="K14" i="2"/>
  <c r="K13" i="2"/>
  <c r="K12" i="2"/>
  <c r="K11" i="2"/>
  <c r="K10" i="2"/>
  <c r="K9" i="2"/>
  <c r="K8" i="2"/>
  <c r="K7" i="2"/>
  <c r="I27" i="2"/>
  <c r="I26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6" i="2"/>
  <c r="G27" i="2"/>
  <c r="G7" i="2"/>
  <c r="A7" i="3" l="1"/>
  <c r="A7" i="2"/>
  <c r="B7" i="3"/>
  <c r="B7" i="2"/>
  <c r="T15" i="3" l="1"/>
  <c r="W7" i="5" s="1"/>
  <c r="AR28" i="3"/>
  <c r="AP28" i="3"/>
  <c r="AN28" i="3"/>
  <c r="AR25" i="3"/>
  <c r="AP25" i="3"/>
  <c r="AN25" i="3"/>
  <c r="AR15" i="3"/>
  <c r="AP15" i="3"/>
  <c r="AN15" i="3"/>
  <c r="H9" i="4"/>
  <c r="AA28" i="3"/>
  <c r="AA25" i="3"/>
  <c r="AA15" i="3"/>
  <c r="Z28" i="3"/>
  <c r="AM28" i="3"/>
  <c r="Z25" i="3"/>
  <c r="AM25" i="3"/>
  <c r="Z15" i="3"/>
  <c r="AM15" i="3"/>
  <c r="U28" i="3"/>
  <c r="X9" i="5" s="1"/>
  <c r="AK28" i="3"/>
  <c r="U25" i="3"/>
  <c r="X8" i="5" s="1"/>
  <c r="AK25" i="3"/>
  <c r="AK15" i="3"/>
  <c r="U15" i="3"/>
  <c r="X7" i="5" s="1"/>
  <c r="T28" i="3"/>
  <c r="W9" i="5" s="1"/>
  <c r="AI28" i="3"/>
  <c r="T25" i="3"/>
  <c r="W8" i="5" s="1"/>
  <c r="AI25" i="3"/>
  <c r="AI15" i="3"/>
  <c r="L28" i="1"/>
  <c r="M9" i="4" s="1"/>
  <c r="L25" i="1"/>
  <c r="L15" i="1"/>
  <c r="M7" i="4" s="1"/>
  <c r="J28" i="2"/>
  <c r="J28" i="1"/>
  <c r="J25" i="2"/>
  <c r="J25" i="1"/>
  <c r="J15" i="2"/>
  <c r="J15" i="1"/>
  <c r="H28" i="2"/>
  <c r="H28" i="1"/>
  <c r="H25" i="2"/>
  <c r="H25" i="1"/>
  <c r="H15" i="2"/>
  <c r="H15" i="1"/>
  <c r="F28" i="2"/>
  <c r="F28" i="1"/>
  <c r="F25" i="2"/>
  <c r="F25" i="1"/>
  <c r="F15" i="2"/>
  <c r="F15" i="1"/>
  <c r="AL28" i="3"/>
  <c r="AL25" i="3"/>
  <c r="AL15" i="3"/>
  <c r="AJ28" i="3"/>
  <c r="AJ25" i="3"/>
  <c r="AJ15" i="3"/>
  <c r="AH28" i="3"/>
  <c r="AH25" i="3"/>
  <c r="AH15" i="3"/>
  <c r="E15" i="3"/>
  <c r="E25" i="3"/>
  <c r="AF28" i="3"/>
  <c r="AF25" i="3"/>
  <c r="AF15" i="3"/>
  <c r="O15" i="3"/>
  <c r="R7" i="5" s="1"/>
  <c r="E15" i="1"/>
  <c r="D7" i="4" s="1"/>
  <c r="P7" i="3"/>
  <c r="Q7" i="3" s="1"/>
  <c r="O28" i="3"/>
  <c r="R9" i="5" s="1"/>
  <c r="O25" i="3"/>
  <c r="R8" i="5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6" i="3"/>
  <c r="Q26" i="3" s="1"/>
  <c r="P27" i="3"/>
  <c r="Q27" i="3" s="1"/>
  <c r="W28" i="3"/>
  <c r="W25" i="3"/>
  <c r="AD28" i="3"/>
  <c r="AB28" i="3"/>
  <c r="AD25" i="3"/>
  <c r="AA8" i="5" s="1"/>
  <c r="AB25" i="3"/>
  <c r="AD15" i="3"/>
  <c r="AB15" i="3"/>
  <c r="W15" i="3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6" i="1"/>
  <c r="O26" i="1" s="1"/>
  <c r="N27" i="1"/>
  <c r="O27" i="1" s="1"/>
  <c r="N7" i="1"/>
  <c r="O7" i="1" s="1"/>
  <c r="V28" i="3"/>
  <c r="V25" i="3"/>
  <c r="V15" i="3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K15" i="3"/>
  <c r="N7" i="5" s="1"/>
  <c r="L15" i="3"/>
  <c r="O7" i="5" s="1"/>
  <c r="M15" i="3"/>
  <c r="P7" i="5" s="1"/>
  <c r="N15" i="3"/>
  <c r="Q7" i="5" s="1"/>
  <c r="J15" i="3"/>
  <c r="M7" i="5" s="1"/>
  <c r="E9" i="4"/>
  <c r="E8" i="4"/>
  <c r="N28" i="2"/>
  <c r="Q9" i="4" s="1"/>
  <c r="N25" i="2"/>
  <c r="Q8" i="4" s="1"/>
  <c r="N28" i="3"/>
  <c r="Q9" i="5" s="1"/>
  <c r="G15" i="3"/>
  <c r="F7" i="5" s="1"/>
  <c r="B6" i="4"/>
  <c r="A6" i="4"/>
  <c r="F15" i="3"/>
  <c r="E7" i="5" s="1"/>
  <c r="H7" i="4"/>
  <c r="E7" i="4"/>
  <c r="H27" i="3"/>
  <c r="I27" i="3" s="1"/>
  <c r="H26" i="3"/>
  <c r="I26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7" i="3"/>
  <c r="I7" i="3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N15" i="2"/>
  <c r="Q7" i="4" s="1"/>
  <c r="E25" i="1"/>
  <c r="M28" i="3"/>
  <c r="P9" i="5" s="1"/>
  <c r="L28" i="3"/>
  <c r="O9" i="5" s="1"/>
  <c r="K28" i="3"/>
  <c r="N9" i="5" s="1"/>
  <c r="J28" i="3"/>
  <c r="M9" i="5" s="1"/>
  <c r="G28" i="3"/>
  <c r="F9" i="5" s="1"/>
  <c r="F28" i="3"/>
  <c r="E9" i="5" s="1"/>
  <c r="N25" i="3"/>
  <c r="Q8" i="5" s="1"/>
  <c r="M25" i="3"/>
  <c r="P8" i="5" s="1"/>
  <c r="L25" i="3"/>
  <c r="O8" i="5" s="1"/>
  <c r="K25" i="3"/>
  <c r="N8" i="5" s="1"/>
  <c r="J25" i="3"/>
  <c r="M8" i="5" s="1"/>
  <c r="G25" i="3"/>
  <c r="F8" i="5" s="1"/>
  <c r="F25" i="3"/>
  <c r="E8" i="5" s="1"/>
  <c r="E28" i="1"/>
  <c r="L27" i="2"/>
  <c r="M27" i="2" s="1"/>
  <c r="L26" i="2"/>
  <c r="M26" i="2" s="1"/>
  <c r="L7" i="2"/>
  <c r="M7" i="2" s="1"/>
  <c r="X25" i="3"/>
  <c r="X28" i="3"/>
  <c r="I9" i="5" s="1"/>
  <c r="X15" i="3"/>
  <c r="I7" i="5" s="1"/>
  <c r="E15" i="2"/>
  <c r="E25" i="2"/>
  <c r="E28" i="2"/>
  <c r="E28" i="3"/>
  <c r="F7" i="4" l="1"/>
  <c r="G7" i="4" s="1"/>
  <c r="I7" i="4"/>
  <c r="K7" i="4"/>
  <c r="G25" i="2"/>
  <c r="G28" i="2"/>
  <c r="I25" i="2"/>
  <c r="I28" i="2"/>
  <c r="K25" i="2"/>
  <c r="K28" i="2"/>
  <c r="AS28" i="3"/>
  <c r="AQ28" i="3"/>
  <c r="AO28" i="3"/>
  <c r="AG28" i="3"/>
  <c r="AE28" i="3"/>
  <c r="AC28" i="3"/>
  <c r="Y28" i="3"/>
  <c r="AQ25" i="3"/>
  <c r="AG25" i="3"/>
  <c r="AC25" i="3"/>
  <c r="AS25" i="3"/>
  <c r="AO25" i="3"/>
  <c r="AE25" i="3"/>
  <c r="Y25" i="3"/>
  <c r="R24" i="3"/>
  <c r="S24" i="3" s="1"/>
  <c r="R27" i="3"/>
  <c r="S27" i="3" s="1"/>
  <c r="R22" i="3"/>
  <c r="S22" i="3" s="1"/>
  <c r="D9" i="5"/>
  <c r="J9" i="5" s="1"/>
  <c r="M28" i="1"/>
  <c r="K28" i="1"/>
  <c r="I28" i="1"/>
  <c r="G28" i="1"/>
  <c r="E10" i="4"/>
  <c r="D8" i="5"/>
  <c r="M25" i="1"/>
  <c r="I25" i="1"/>
  <c r="G25" i="1"/>
  <c r="K25" i="1"/>
  <c r="D7" i="5"/>
  <c r="I15" i="1"/>
  <c r="AO15" i="3"/>
  <c r="Y15" i="3"/>
  <c r="AG15" i="3"/>
  <c r="AQ15" i="3"/>
  <c r="AC15" i="3"/>
  <c r="AS15" i="3"/>
  <c r="AE15" i="3"/>
  <c r="G15" i="1"/>
  <c r="K15" i="1"/>
  <c r="M15" i="1"/>
  <c r="R7" i="4"/>
  <c r="N7" i="4"/>
  <c r="G15" i="2"/>
  <c r="L7" i="4"/>
  <c r="K15" i="2"/>
  <c r="I15" i="2"/>
  <c r="J7" i="4"/>
  <c r="R19" i="3"/>
  <c r="S19" i="3" s="1"/>
  <c r="AA29" i="3"/>
  <c r="F29" i="1"/>
  <c r="F8" i="4"/>
  <c r="R13" i="3"/>
  <c r="S13" i="3" s="1"/>
  <c r="R26" i="3"/>
  <c r="S26" i="3" s="1"/>
  <c r="N15" i="1"/>
  <c r="O15" i="1" s="1"/>
  <c r="N28" i="1"/>
  <c r="O28" i="1" s="1"/>
  <c r="H28" i="3"/>
  <c r="I28" i="3" s="1"/>
  <c r="R7" i="3"/>
  <c r="S7" i="3" s="1"/>
  <c r="R21" i="3"/>
  <c r="S21" i="3" s="1"/>
  <c r="R9" i="3"/>
  <c r="S9" i="3" s="1"/>
  <c r="P15" i="3"/>
  <c r="Q15" i="3" s="1"/>
  <c r="AF29" i="3"/>
  <c r="E29" i="3"/>
  <c r="M8" i="4"/>
  <c r="AK29" i="3"/>
  <c r="AP29" i="3"/>
  <c r="K9" i="5"/>
  <c r="M10" i="4"/>
  <c r="AN29" i="3"/>
  <c r="R17" i="3"/>
  <c r="S17" i="3" s="1"/>
  <c r="AA9" i="5"/>
  <c r="R12" i="3"/>
  <c r="S12" i="3" s="1"/>
  <c r="H25" i="3"/>
  <c r="I25" i="3" s="1"/>
  <c r="R14" i="3"/>
  <c r="S14" i="3" s="1"/>
  <c r="R16" i="3"/>
  <c r="S16" i="3" s="1"/>
  <c r="P28" i="3"/>
  <c r="Q28" i="3" s="1"/>
  <c r="R11" i="3"/>
  <c r="S11" i="3" s="1"/>
  <c r="W29" i="3"/>
  <c r="AB29" i="3"/>
  <c r="O29" i="3"/>
  <c r="AD29" i="3"/>
  <c r="L25" i="2"/>
  <c r="M25" i="2" s="1"/>
  <c r="K9" i="4"/>
  <c r="F29" i="2"/>
  <c r="N25" i="1"/>
  <c r="O25" i="1" s="1"/>
  <c r="H29" i="1"/>
  <c r="R23" i="3"/>
  <c r="S23" i="3" s="1"/>
  <c r="K7" i="5"/>
  <c r="Y9" i="5"/>
  <c r="V29" i="3"/>
  <c r="AM29" i="3"/>
  <c r="AR29" i="3"/>
  <c r="P25" i="3"/>
  <c r="Q25" i="3" s="1"/>
  <c r="L29" i="1"/>
  <c r="E29" i="2"/>
  <c r="R8" i="3"/>
  <c r="S8" i="3" s="1"/>
  <c r="N29" i="2"/>
  <c r="L15" i="2"/>
  <c r="M15" i="2" s="1"/>
  <c r="H29" i="2"/>
  <c r="I29" i="2" s="1"/>
  <c r="J29" i="2"/>
  <c r="G29" i="3"/>
  <c r="H15" i="3"/>
  <c r="I15" i="3" s="1"/>
  <c r="J29" i="1"/>
  <c r="L28" i="2"/>
  <c r="M28" i="2" s="1"/>
  <c r="R18" i="3"/>
  <c r="S18" i="3" s="1"/>
  <c r="K8" i="4"/>
  <c r="G9" i="5"/>
  <c r="K29" i="3"/>
  <c r="Q10" i="4"/>
  <c r="R10" i="3"/>
  <c r="S10" i="3" s="1"/>
  <c r="H8" i="4"/>
  <c r="H10" i="4" s="1"/>
  <c r="J29" i="3"/>
  <c r="E29" i="1"/>
  <c r="U29" i="3"/>
  <c r="F29" i="3"/>
  <c r="L29" i="3"/>
  <c r="R20" i="3"/>
  <c r="S20" i="3" s="1"/>
  <c r="T29" i="3"/>
  <c r="AI29" i="3"/>
  <c r="Y7" i="5"/>
  <c r="N29" i="3"/>
  <c r="D8" i="4"/>
  <c r="X29" i="3"/>
  <c r="D9" i="4"/>
  <c r="Z29" i="3"/>
  <c r="S9" i="5"/>
  <c r="F9" i="4"/>
  <c r="I8" i="4"/>
  <c r="Z9" i="5"/>
  <c r="AA7" i="5"/>
  <c r="I9" i="4"/>
  <c r="K8" i="5"/>
  <c r="Z7" i="5"/>
  <c r="Y8" i="5"/>
  <c r="Z8" i="5"/>
  <c r="G7" i="5"/>
  <c r="E10" i="5"/>
  <c r="Q10" i="5"/>
  <c r="O10" i="5"/>
  <c r="W10" i="5"/>
  <c r="J7" i="5"/>
  <c r="M10" i="5"/>
  <c r="S7" i="5"/>
  <c r="G8" i="5"/>
  <c r="S8" i="5"/>
  <c r="F10" i="5"/>
  <c r="P10" i="5"/>
  <c r="N10" i="5"/>
  <c r="R10" i="5"/>
  <c r="X10" i="5"/>
  <c r="I8" i="5"/>
  <c r="M29" i="3"/>
  <c r="H8" i="5" l="1"/>
  <c r="O7" i="4"/>
  <c r="L9" i="5"/>
  <c r="K29" i="2"/>
  <c r="L7" i="5"/>
  <c r="J8" i="5"/>
  <c r="L8" i="5"/>
  <c r="D10" i="5"/>
  <c r="H9" i="5"/>
  <c r="L9" i="4"/>
  <c r="G9" i="4"/>
  <c r="R9" i="4"/>
  <c r="N9" i="4"/>
  <c r="J9" i="4"/>
  <c r="L8" i="4"/>
  <c r="G8" i="4"/>
  <c r="R8" i="4"/>
  <c r="N8" i="4"/>
  <c r="J8" i="4"/>
  <c r="M29" i="1"/>
  <c r="I29" i="1"/>
  <c r="G29" i="1"/>
  <c r="AS29" i="3"/>
  <c r="AE29" i="3"/>
  <c r="AC29" i="3"/>
  <c r="AG29" i="3"/>
  <c r="AQ29" i="3"/>
  <c r="AO29" i="3"/>
  <c r="Y29" i="3"/>
  <c r="K29" i="1"/>
  <c r="G29" i="2"/>
  <c r="U9" i="5"/>
  <c r="V9" i="5" s="1"/>
  <c r="R25" i="3"/>
  <c r="S25" i="3" s="1"/>
  <c r="R15" i="3"/>
  <c r="S15" i="3" s="1"/>
  <c r="AA10" i="5"/>
  <c r="Z10" i="5"/>
  <c r="K10" i="5"/>
  <c r="T9" i="5"/>
  <c r="R28" i="3"/>
  <c r="S28" i="3" s="1"/>
  <c r="H29" i="3"/>
  <c r="I29" i="3" s="1"/>
  <c r="K10" i="4"/>
  <c r="O9" i="4"/>
  <c r="S9" i="4" s="1"/>
  <c r="T9" i="4" s="1"/>
  <c r="D10" i="4"/>
  <c r="N29" i="1"/>
  <c r="O29" i="1" s="1"/>
  <c r="F10" i="4"/>
  <c r="Y10" i="5"/>
  <c r="I10" i="4"/>
  <c r="P29" i="3"/>
  <c r="Q29" i="3" s="1"/>
  <c r="L29" i="2"/>
  <c r="M29" i="2" s="1"/>
  <c r="O8" i="4"/>
  <c r="P8" i="4" s="1"/>
  <c r="U7" i="5"/>
  <c r="V7" i="5" s="1"/>
  <c r="T7" i="5"/>
  <c r="H7" i="5"/>
  <c r="G10" i="5"/>
  <c r="H10" i="5" s="1"/>
  <c r="U8" i="5"/>
  <c r="V8" i="5" s="1"/>
  <c r="T8" i="5"/>
  <c r="S10" i="5"/>
  <c r="I10" i="5"/>
  <c r="J10" i="5" s="1"/>
  <c r="L10" i="5" l="1"/>
  <c r="P9" i="4"/>
  <c r="S7" i="4"/>
  <c r="T7" i="4" s="1"/>
  <c r="P7" i="4"/>
  <c r="G10" i="4"/>
  <c r="R10" i="4"/>
  <c r="N10" i="4"/>
  <c r="L10" i="4"/>
  <c r="J10" i="4"/>
  <c r="R29" i="3"/>
  <c r="S29" i="3" s="1"/>
  <c r="O10" i="4"/>
  <c r="S10" i="4" s="1"/>
  <c r="T10" i="4" s="1"/>
  <c r="S8" i="4"/>
  <c r="T8" i="4" s="1"/>
  <c r="T10" i="5"/>
  <c r="U10" i="5"/>
  <c r="V10" i="5" s="1"/>
  <c r="P10" i="4" l="1"/>
</calcChain>
</file>

<file path=xl/sharedStrings.xml><?xml version="1.0" encoding="utf-8"?>
<sst xmlns="http://schemas.openxmlformats.org/spreadsheetml/2006/main" count="290" uniqueCount="121">
  <si>
    <t>итого</t>
  </si>
  <si>
    <t>1 кл.</t>
  </si>
  <si>
    <t>2 кл.</t>
  </si>
  <si>
    <t>3 кл.</t>
  </si>
  <si>
    <t>4 кл.</t>
  </si>
  <si>
    <t>5 кл</t>
  </si>
  <si>
    <t>6 кл.</t>
  </si>
  <si>
    <t>7 кл.</t>
  </si>
  <si>
    <t>8 кл.</t>
  </si>
  <si>
    <t>9 кл.</t>
  </si>
  <si>
    <t>10 кл.</t>
  </si>
  <si>
    <t>11 кл.</t>
  </si>
  <si>
    <t>Параллели</t>
  </si>
  <si>
    <t>%</t>
  </si>
  <si>
    <t>Р-н</t>
  </si>
  <si>
    <t>МОУ</t>
  </si>
  <si>
    <t>только  завтрак</t>
  </si>
  <si>
    <t xml:space="preserve"> только обед</t>
  </si>
  <si>
    <t>завтрак и обед</t>
  </si>
  <si>
    <t>всего</t>
  </si>
  <si>
    <t>цена</t>
  </si>
  <si>
    <t>I ст</t>
  </si>
  <si>
    <t>II ст</t>
  </si>
  <si>
    <t>III ст</t>
  </si>
  <si>
    <t>МОУ №</t>
  </si>
  <si>
    <t>Количество учащихся, питающихся только буфетной продукцией</t>
  </si>
  <si>
    <t>Форма 1</t>
  </si>
  <si>
    <t>Форма 2</t>
  </si>
  <si>
    <t>Форма 3</t>
  </si>
  <si>
    <t>Учащиеся из малоимущих семей</t>
  </si>
  <si>
    <t>Отдельные категории учащихся</t>
  </si>
  <si>
    <t xml:space="preserve">Итого учащихся, получающих бесплатное питание </t>
  </si>
  <si>
    <t>Кол-во учащихся из семей, где один или оба родителя являются пенсионерами по старости</t>
  </si>
  <si>
    <t>Кол-во учащихся из семей, где один или оба родителя являются инвалидами 1, 2 группы</t>
  </si>
  <si>
    <t>Кол-во учащихся из семей, находящихся в социально опасном положении</t>
  </si>
  <si>
    <t>Кол-во детей-инвалидов</t>
  </si>
  <si>
    <t>Кол-во учащихся из многодетных семей</t>
  </si>
  <si>
    <t>Всего учащихся отдельных категорий</t>
  </si>
  <si>
    <t>Итого по ОУ</t>
  </si>
  <si>
    <t>Кол-во учащихся  из многодетных малоимущих семей</t>
  </si>
  <si>
    <t>Кол-во учащихся  из малоимущих семей</t>
  </si>
  <si>
    <t xml:space="preserve">Всего учащихся из малоимущих семей </t>
  </si>
  <si>
    <t>1 смена</t>
  </si>
  <si>
    <t>2 смена</t>
  </si>
  <si>
    <t>II ст.</t>
  </si>
  <si>
    <t>ступени</t>
  </si>
  <si>
    <t>Количество учащихся</t>
  </si>
  <si>
    <t>I</t>
  </si>
  <si>
    <t>II</t>
  </si>
  <si>
    <t>III</t>
  </si>
  <si>
    <t xml:space="preserve">Форма заполняется автоматически. </t>
  </si>
  <si>
    <t xml:space="preserve">из них </t>
  </si>
  <si>
    <t>завтрак</t>
  </si>
  <si>
    <t>обед</t>
  </si>
  <si>
    <t>завтраки</t>
  </si>
  <si>
    <t>обеды</t>
  </si>
  <si>
    <t>завтраки и обеды</t>
  </si>
  <si>
    <t>буфет</t>
  </si>
  <si>
    <t>кол-во</t>
  </si>
  <si>
    <t>всего питаются в школе</t>
  </si>
  <si>
    <t>охват основным (горячим)  питанием</t>
  </si>
  <si>
    <t xml:space="preserve">Кол-во учащихся </t>
  </si>
  <si>
    <t>Форма 5</t>
  </si>
  <si>
    <t>Форма 4</t>
  </si>
  <si>
    <t>Директор МОУ  ______________________________________ /_____________________________________________________</t>
  </si>
  <si>
    <t>МП</t>
  </si>
  <si>
    <t>ФИО</t>
  </si>
  <si>
    <t>III ст.</t>
  </si>
  <si>
    <t>учащиеся с ОВЗ</t>
  </si>
  <si>
    <t>количество учащихся</t>
  </si>
  <si>
    <t>Внимание! Выделенные  желтым цветом поля не заполнять!</t>
  </si>
  <si>
    <t>Внимание! Выделенные желтым цветом цветом поля не заполнять! Заполняется автоматически!</t>
  </si>
  <si>
    <t>Кол-во ВИЧ-инфицированных</t>
  </si>
  <si>
    <t>3-х и более разовое питание</t>
  </si>
  <si>
    <t>Всего учащихся с ОВЗ</t>
  </si>
  <si>
    <t xml:space="preserve">питаются в школе </t>
  </si>
  <si>
    <t>получают сухпаек</t>
  </si>
  <si>
    <t>Кол-во детей-инвалидов с ОВЗ</t>
  </si>
  <si>
    <t>прочие катеории учащихся</t>
  </si>
  <si>
    <t>Смены</t>
  </si>
  <si>
    <t>только обед</t>
  </si>
  <si>
    <t>Смена</t>
  </si>
  <si>
    <t xml:space="preserve">Учащиеся, получающие одноразовое бесплатное питание </t>
  </si>
  <si>
    <t xml:space="preserve">Итого </t>
  </si>
  <si>
    <t>Кол-во учащихся из многодетных малоимущих семей</t>
  </si>
  <si>
    <t>Кол-во учащихся из малоимущих семей</t>
  </si>
  <si>
    <t>из них получают</t>
  </si>
  <si>
    <t xml:space="preserve">Кол-во детей с ОВЗ без инвалидности </t>
  </si>
  <si>
    <t xml:space="preserve">Кол-во учащихся, получающих двухразовое бесплатное питание </t>
  </si>
  <si>
    <t xml:space="preserve">Кол-во учащихся, получающих трехразовое и более бесплатное питание </t>
  </si>
  <si>
    <t>Учащиеся с ОВЗ (кроме школ с ОВЗ, школ-интернатов с ОВЗ)</t>
  </si>
  <si>
    <t>цена трехразового питания(руб)</t>
  </si>
  <si>
    <t>Прочие категории учащихся (школы с ОВЗ, школы-интернаты с ОВЗ, ПКШ, школа-интернат 85)</t>
  </si>
  <si>
    <t>Двухразовое питание</t>
  </si>
  <si>
    <t>Трехразовое питание</t>
  </si>
  <si>
    <t>5-6 разовое питание</t>
  </si>
  <si>
    <t xml:space="preserve">обучаются на дому, питание (сухой паек) не предоставляется  </t>
  </si>
  <si>
    <t>цена 5-6 разового питания (руб)</t>
  </si>
  <si>
    <t>Количество учащихся с ОВЗ, которые</t>
  </si>
  <si>
    <t>цена питания (руб)</t>
  </si>
  <si>
    <t>кол-во учащихся</t>
  </si>
  <si>
    <t>Получают сухпаек</t>
  </si>
  <si>
    <t>Внимание! Необходимо обязательно  заполнить столбецы  20, 21 , 26, 27,  30, 35, 37, 39, 42 иначе охват горячим питание будет рассчитан без учета учащихся, получающих бесплатное питание. Указать в какую смену обучаются 10 и 11 классы</t>
  </si>
  <si>
    <t xml:space="preserve">Количество учащихся, получающих бесплатное питание 1-4 класс, и количество учащихся, получающих организованно горячее питание по предварительным заявкам за родительскую плату </t>
  </si>
  <si>
    <r>
      <t>Инструкция по заполнению формы 1.</t>
    </r>
    <r>
      <rPr>
        <sz val="11"/>
        <rFont val="Times New Roman"/>
        <family val="1"/>
        <charset val="204"/>
      </rPr>
      <t xml:space="preserve"> Район и номер учреждения поставьте в первой строке таблицы. В 5, 7, 9, 11 столбцах указать среднее ежедневное количество учащихся,  получающих горячее питание (за период с 01.03.2021 по 05.03.2021). </t>
    </r>
  </si>
  <si>
    <t>Информация об организованном  горячем питании учащихся в 3 четверти 2020-2021 учебного года</t>
  </si>
  <si>
    <t>Информация о питании учащихся без предварительных заявок (в свободной продаже) в 3 четверти 2020-2021 уч. года</t>
  </si>
  <si>
    <t xml:space="preserve"> Инструкция по заполнению формы 2. В 5, 7, 9 столбцах указать среднее ежедневное количество учащихся,  получающих горячее питание (за период с 28.09.2020 по 02.10.2020). По 1 ступени указываем только буфет.</t>
  </si>
  <si>
    <t>Форма 6</t>
  </si>
  <si>
    <t>Информация о цене завтраков и обедов за родительскую плату</t>
  </si>
  <si>
    <t>Завтрак</t>
  </si>
  <si>
    <t>Обед</t>
  </si>
  <si>
    <t>5-9 класс</t>
  </si>
  <si>
    <t>10-11 класс</t>
  </si>
  <si>
    <t>Информация о количественном составе различных категорий учащихся на 01.03.2021, получающих бесплатное питание</t>
  </si>
  <si>
    <t xml:space="preserve">Информация о количественном составе различных категорий учащихся на 01.03.2021, получающих бесплатное питание </t>
  </si>
  <si>
    <t>Показатели эффективности организации питания учащихся в 3 четверти 2020-2021 учебного года</t>
  </si>
  <si>
    <t>ООО "Дело Вкуса"</t>
  </si>
  <si>
    <t>ООО "ЛеМаС"</t>
  </si>
  <si>
    <t>К</t>
  </si>
  <si>
    <t>СинТез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</si>
</sst>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 wrapText="1"/>
    </xf>
    <xf numFmtId="9" fontId="4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1" fontId="7" fillId="3" borderId="2" xfId="0" applyNumberFormat="1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1" fontId="6" fillId="0" borderId="2" xfId="0" applyNumberFormat="1" applyFont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  <protection locked="0"/>
    </xf>
    <xf numFmtId="1" fontId="7" fillId="0" borderId="8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6" fillId="7" borderId="14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3" fillId="7" borderId="7" xfId="0" applyFont="1" applyFill="1" applyBorder="1" applyAlignment="1" applyProtection="1">
      <alignment horizontal="center" vertical="top" wrapText="1"/>
      <protection locked="0"/>
    </xf>
    <xf numFmtId="0" fontId="3" fillId="7" borderId="6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right" vertical="top" wrapText="1"/>
      <protection locked="0"/>
    </xf>
    <xf numFmtId="2" fontId="6" fillId="0" borderId="2" xfId="0" applyNumberFormat="1" applyFont="1" applyFill="1" applyBorder="1" applyAlignment="1" applyProtection="1">
      <alignment horizontal="right" vertical="top" wrapText="1"/>
      <protection locked="0"/>
    </xf>
    <xf numFmtId="1" fontId="6" fillId="0" borderId="2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9" fontId="6" fillId="0" borderId="2" xfId="3" applyFont="1" applyFill="1" applyBorder="1" applyAlignment="1" applyProtection="1">
      <alignment horizontal="right" vertical="top" wrapText="1"/>
      <protection locked="0"/>
    </xf>
    <xf numFmtId="9" fontId="7" fillId="3" borderId="2" xfId="3" applyFont="1" applyFill="1" applyBorder="1" applyAlignment="1" applyProtection="1">
      <alignment horizontal="center" vertical="top" wrapText="1"/>
      <protection locked="0"/>
    </xf>
    <xf numFmtId="9" fontId="2" fillId="3" borderId="2" xfId="3" applyFont="1" applyFill="1" applyBorder="1" applyAlignment="1">
      <alignment horizontal="center" vertical="top" wrapText="1"/>
    </xf>
    <xf numFmtId="0" fontId="6" fillId="8" borderId="2" xfId="0" applyFont="1" applyFill="1" applyBorder="1" applyAlignment="1" applyProtection="1">
      <alignment vertical="top" wrapText="1"/>
    </xf>
    <xf numFmtId="0" fontId="6" fillId="8" borderId="2" xfId="0" applyFont="1" applyFill="1" applyBorder="1" applyAlignment="1" applyProtection="1">
      <alignment vertical="top" wrapText="1"/>
      <protection locked="0"/>
    </xf>
    <xf numFmtId="9" fontId="7" fillId="8" borderId="2" xfId="3" applyFont="1" applyFill="1" applyBorder="1" applyAlignment="1" applyProtection="1">
      <alignment horizontal="center" vertical="top" wrapText="1"/>
      <protection locked="0"/>
    </xf>
    <xf numFmtId="0" fontId="7" fillId="8" borderId="2" xfId="0" applyFont="1" applyFill="1" applyBorder="1" applyAlignment="1" applyProtection="1">
      <alignment vertical="top" wrapText="1"/>
      <protection locked="0"/>
    </xf>
    <xf numFmtId="1" fontId="6" fillId="8" borderId="2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/>
    <xf numFmtId="0" fontId="11" fillId="0" borderId="2" xfId="0" applyFont="1" applyBorder="1"/>
    <xf numFmtId="0" fontId="0" fillId="0" borderId="2" xfId="0" applyBorder="1"/>
    <xf numFmtId="0" fontId="11" fillId="0" borderId="0" xfId="0" applyFont="1" applyAlignment="1">
      <alignment vertical="center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7" borderId="7" xfId="0" applyFont="1" applyFill="1" applyBorder="1" applyAlignment="1" applyProtection="1">
      <alignment vertical="top" wrapText="1"/>
      <protection locked="0"/>
    </xf>
    <xf numFmtId="0" fontId="7" fillId="7" borderId="6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2"/>
    <cellStyle name="Процентный" xfId="3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yachkova-ne\&#1056;&#1072;&#1073;&#1086;&#1095;&#1080;&#1081;%20&#1089;&#1090;&#1086;&#1083;\&#1055;&#1080;&#1089;&#1100;&#1084;&#1072;\&#1055;&#1080;&#1089;&#1100;&#1084;&#1072;%202014.04\Documents%20and%20Settings\selivanova-ta\Documentum\Viewed\&#1092;&#1086;&#1088;&#1084;&#1103;%20&#1076;&#1083;&#1103;%20&#1084;&#1086;&#1085;&#1080;&#1090;&#1086;&#1088;&#1080;&#1085;&#1075;&#1072;%20&#1079;&#1072;%201%20&#1095;&#1077;&#1090;&#1074;&#1077;&#1088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охват организованым питанием"/>
      <sheetName val="2. охват без предв. заяв."/>
      <sheetName val="3. Бесплатное питание"/>
      <sheetName val="4 Показатели эффективности"/>
      <sheetName val="нат.нормы 1 ст. з."/>
      <sheetName val="нат. нормы 1 ст. о."/>
      <sheetName val="нат. нормы 2 ст з"/>
      <sheetName val="нат. нормы 2, 3 ст. о."/>
      <sheetName val="Лист1"/>
    </sheetNames>
    <sheetDataSet>
      <sheetData sheetId="0">
        <row r="6">
          <cell r="A6" t="str">
            <v xml:space="preserve"> </v>
          </cell>
          <cell r="B6" t="str">
            <v xml:space="preserve"> 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pane ySplit="6" topLeftCell="A7" activePane="bottomLeft" state="frozen"/>
      <selection pane="bottomLeft" activeCell="B8" sqref="B8"/>
    </sheetView>
  </sheetViews>
  <sheetFormatPr defaultRowHeight="15" x14ac:dyDescent="0.2"/>
  <cols>
    <col min="1" max="1" width="4.5703125" style="81" customWidth="1"/>
    <col min="2" max="2" width="7" style="81" customWidth="1"/>
    <col min="3" max="3" width="6.85546875" style="19" bestFit="1" customWidth="1"/>
    <col min="4" max="4" width="9.28515625" style="19" customWidth="1"/>
    <col min="5" max="5" width="8.42578125" style="19" customWidth="1"/>
    <col min="6" max="6" width="6.28515625" style="19" customWidth="1"/>
    <col min="7" max="7" width="9" style="19" bestFit="1" customWidth="1"/>
    <col min="8" max="8" width="6.7109375" style="19" bestFit="1" customWidth="1"/>
    <col min="9" max="9" width="9" style="19" bestFit="1" customWidth="1"/>
    <col min="10" max="10" width="6.7109375" style="19" customWidth="1"/>
    <col min="11" max="11" width="9" style="19" bestFit="1" customWidth="1"/>
    <col min="12" max="12" width="9.42578125" style="19" bestFit="1" customWidth="1"/>
    <col min="13" max="13" width="9" style="19" bestFit="1" customWidth="1"/>
    <col min="14" max="14" width="7.140625" style="19" customWidth="1"/>
    <col min="15" max="15" width="9" style="19" bestFit="1" customWidth="1"/>
    <col min="16" max="16" width="9.85546875" style="19" customWidth="1"/>
    <col min="17" max="17" width="9.5703125" style="19" customWidth="1"/>
    <col min="18" max="18" width="13.140625" style="19" customWidth="1"/>
    <col min="19" max="24" width="9.140625" style="19"/>
    <col min="25" max="16384" width="9.140625" style="20"/>
  </cols>
  <sheetData>
    <row r="1" spans="1:18" ht="20.25" customHeight="1" x14ac:dyDescent="0.2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8" x14ac:dyDescent="0.2">
      <c r="A2" s="110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1"/>
      <c r="Q2" s="21"/>
      <c r="R2" s="21"/>
    </row>
    <row r="3" spans="1:18" x14ac:dyDescent="0.2">
      <c r="A3" s="56"/>
      <c r="B3" s="56"/>
      <c r="C3" s="52"/>
      <c r="D3" s="52"/>
      <c r="E3" s="52"/>
      <c r="F3" s="42"/>
      <c r="G3" s="42"/>
      <c r="H3" s="42"/>
      <c r="I3" s="42"/>
      <c r="J3" s="42"/>
      <c r="K3" s="42"/>
      <c r="L3" s="42"/>
      <c r="M3" s="42"/>
      <c r="N3" s="42"/>
      <c r="O3" s="42"/>
      <c r="P3" s="21"/>
      <c r="Q3" s="21"/>
      <c r="R3" s="21"/>
    </row>
    <row r="4" spans="1:18" ht="35.25" customHeight="1" x14ac:dyDescent="0.2">
      <c r="A4" s="112" t="s">
        <v>14</v>
      </c>
      <c r="B4" s="112" t="s">
        <v>24</v>
      </c>
      <c r="C4" s="112" t="s">
        <v>12</v>
      </c>
      <c r="D4" s="112" t="s">
        <v>79</v>
      </c>
      <c r="E4" s="112" t="s">
        <v>61</v>
      </c>
      <c r="F4" s="111" t="s">
        <v>103</v>
      </c>
      <c r="G4" s="111"/>
      <c r="H4" s="111"/>
      <c r="I4" s="111"/>
      <c r="J4" s="111"/>
      <c r="K4" s="111"/>
      <c r="L4" s="111"/>
      <c r="M4" s="111"/>
      <c r="N4" s="111"/>
      <c r="O4" s="111"/>
    </row>
    <row r="5" spans="1:18" ht="62.25" customHeight="1" x14ac:dyDescent="0.2">
      <c r="A5" s="113"/>
      <c r="B5" s="113"/>
      <c r="C5" s="113"/>
      <c r="D5" s="113"/>
      <c r="E5" s="113"/>
      <c r="F5" s="22" t="s">
        <v>16</v>
      </c>
      <c r="G5" s="24" t="s">
        <v>13</v>
      </c>
      <c r="H5" s="22" t="s">
        <v>80</v>
      </c>
      <c r="I5" s="24" t="s">
        <v>13</v>
      </c>
      <c r="J5" s="22" t="s">
        <v>18</v>
      </c>
      <c r="K5" s="24" t="s">
        <v>13</v>
      </c>
      <c r="L5" s="24" t="s">
        <v>73</v>
      </c>
      <c r="M5" s="24" t="s">
        <v>13</v>
      </c>
      <c r="N5" s="22" t="s">
        <v>19</v>
      </c>
      <c r="O5" s="24" t="s">
        <v>13</v>
      </c>
    </row>
    <row r="6" spans="1:18" ht="13.5" customHeight="1" x14ac:dyDescent="0.2">
      <c r="A6" s="57">
        <v>1</v>
      </c>
      <c r="B6" s="57">
        <v>2</v>
      </c>
      <c r="C6" s="22">
        <v>3</v>
      </c>
      <c r="D6" s="22"/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</row>
    <row r="7" spans="1:18" ht="28.5" x14ac:dyDescent="0.2">
      <c r="A7" s="77" t="s">
        <v>119</v>
      </c>
      <c r="B7" s="77" t="s">
        <v>120</v>
      </c>
      <c r="C7" s="26" t="s">
        <v>1</v>
      </c>
      <c r="D7" s="26" t="s">
        <v>42</v>
      </c>
      <c r="E7" s="25">
        <f>253+82</f>
        <v>335</v>
      </c>
      <c r="F7" s="25">
        <v>335</v>
      </c>
      <c r="G7" s="96">
        <f>F7/$E7</f>
        <v>1</v>
      </c>
      <c r="H7" s="25"/>
      <c r="I7" s="96">
        <f>H7/$E7</f>
        <v>0</v>
      </c>
      <c r="J7" s="25"/>
      <c r="K7" s="96">
        <f>J7/$E7</f>
        <v>0</v>
      </c>
      <c r="L7" s="25"/>
      <c r="M7" s="96">
        <f>L7/$E7</f>
        <v>0</v>
      </c>
      <c r="N7" s="27">
        <f t="shared" ref="N7:N29" si="0">F7+H7+J7+L7</f>
        <v>335</v>
      </c>
      <c r="O7" s="96">
        <f>N7/$E7</f>
        <v>1</v>
      </c>
    </row>
    <row r="8" spans="1:18" x14ac:dyDescent="0.2">
      <c r="A8" s="78"/>
      <c r="B8" s="78"/>
      <c r="C8" s="26"/>
      <c r="D8" s="26" t="s">
        <v>43</v>
      </c>
      <c r="E8" s="25"/>
      <c r="F8" s="25"/>
      <c r="G8" s="96" t="e">
        <f t="shared" ref="G8:G29" si="1">F8/$E8</f>
        <v>#DIV/0!</v>
      </c>
      <c r="H8" s="25"/>
      <c r="I8" s="96" t="e">
        <f t="shared" ref="I8:I29" si="2">H8/$E8</f>
        <v>#DIV/0!</v>
      </c>
      <c r="J8" s="25"/>
      <c r="K8" s="96" t="e">
        <f t="shared" ref="K8:K29" si="3">J8/$E8</f>
        <v>#DIV/0!</v>
      </c>
      <c r="L8" s="25"/>
      <c r="M8" s="96" t="e">
        <f t="shared" ref="M8:M29" si="4">L8/$E8</f>
        <v>#DIV/0!</v>
      </c>
      <c r="N8" s="27">
        <f t="shared" si="0"/>
        <v>0</v>
      </c>
      <c r="O8" s="96" t="e">
        <f t="shared" ref="O8:O29" si="5">N8/$E8</f>
        <v>#DIV/0!</v>
      </c>
    </row>
    <row r="9" spans="1:18" x14ac:dyDescent="0.2">
      <c r="A9" s="79"/>
      <c r="B9" s="79"/>
      <c r="C9" s="26" t="s">
        <v>2</v>
      </c>
      <c r="D9" s="26" t="s">
        <v>42</v>
      </c>
      <c r="E9" s="25">
        <v>29</v>
      </c>
      <c r="F9" s="25">
        <v>29</v>
      </c>
      <c r="G9" s="96">
        <f t="shared" si="1"/>
        <v>1</v>
      </c>
      <c r="H9" s="25"/>
      <c r="I9" s="96">
        <f t="shared" si="2"/>
        <v>0</v>
      </c>
      <c r="J9" s="25"/>
      <c r="K9" s="96">
        <f t="shared" si="3"/>
        <v>0</v>
      </c>
      <c r="L9" s="25"/>
      <c r="M9" s="96">
        <f t="shared" si="4"/>
        <v>0</v>
      </c>
      <c r="N9" s="27">
        <f t="shared" si="0"/>
        <v>29</v>
      </c>
      <c r="O9" s="96">
        <f t="shared" si="5"/>
        <v>1</v>
      </c>
    </row>
    <row r="10" spans="1:18" x14ac:dyDescent="0.2">
      <c r="A10" s="79"/>
      <c r="B10" s="79"/>
      <c r="C10" s="26"/>
      <c r="D10" s="26" t="s">
        <v>43</v>
      </c>
      <c r="E10" s="25">
        <f>212+70</f>
        <v>282</v>
      </c>
      <c r="F10" s="25"/>
      <c r="G10" s="96">
        <f t="shared" si="1"/>
        <v>0</v>
      </c>
      <c r="H10" s="25">
        <v>282</v>
      </c>
      <c r="I10" s="96">
        <f t="shared" si="2"/>
        <v>1</v>
      </c>
      <c r="J10" s="25"/>
      <c r="K10" s="96">
        <f t="shared" si="3"/>
        <v>0</v>
      </c>
      <c r="L10" s="25"/>
      <c r="M10" s="96">
        <f t="shared" si="4"/>
        <v>0</v>
      </c>
      <c r="N10" s="27">
        <f t="shared" si="0"/>
        <v>282</v>
      </c>
      <c r="O10" s="96">
        <f t="shared" si="5"/>
        <v>1</v>
      </c>
    </row>
    <row r="11" spans="1:18" x14ac:dyDescent="0.2">
      <c r="A11" s="79"/>
      <c r="B11" s="79"/>
      <c r="C11" s="26" t="s">
        <v>3</v>
      </c>
      <c r="D11" s="26" t="s">
        <v>42</v>
      </c>
      <c r="E11" s="25">
        <v>33</v>
      </c>
      <c r="F11" s="25">
        <v>33</v>
      </c>
      <c r="G11" s="96">
        <f t="shared" si="1"/>
        <v>1</v>
      </c>
      <c r="H11" s="25"/>
      <c r="I11" s="96">
        <f t="shared" si="2"/>
        <v>0</v>
      </c>
      <c r="J11" s="25"/>
      <c r="K11" s="96">
        <f t="shared" si="3"/>
        <v>0</v>
      </c>
      <c r="L11" s="25"/>
      <c r="M11" s="96">
        <f t="shared" si="4"/>
        <v>0</v>
      </c>
      <c r="N11" s="27">
        <f t="shared" si="0"/>
        <v>33</v>
      </c>
      <c r="O11" s="96">
        <f t="shared" si="5"/>
        <v>1</v>
      </c>
    </row>
    <row r="12" spans="1:18" x14ac:dyDescent="0.2">
      <c r="A12" s="79"/>
      <c r="B12" s="79"/>
      <c r="C12" s="26"/>
      <c r="D12" s="26" t="s">
        <v>43</v>
      </c>
      <c r="E12" s="25">
        <f>187+81</f>
        <v>268</v>
      </c>
      <c r="F12" s="25"/>
      <c r="G12" s="96">
        <f t="shared" si="1"/>
        <v>0</v>
      </c>
      <c r="H12" s="25">
        <v>268</v>
      </c>
      <c r="I12" s="96">
        <f t="shared" si="2"/>
        <v>1</v>
      </c>
      <c r="J12" s="25"/>
      <c r="K12" s="96">
        <f t="shared" si="3"/>
        <v>0</v>
      </c>
      <c r="L12" s="25"/>
      <c r="M12" s="96">
        <f t="shared" si="4"/>
        <v>0</v>
      </c>
      <c r="N12" s="27">
        <f t="shared" si="0"/>
        <v>268</v>
      </c>
      <c r="O12" s="96">
        <f t="shared" si="5"/>
        <v>1</v>
      </c>
    </row>
    <row r="13" spans="1:18" x14ac:dyDescent="0.2">
      <c r="A13" s="79"/>
      <c r="B13" s="79"/>
      <c r="C13" s="26" t="s">
        <v>4</v>
      </c>
      <c r="D13" s="26" t="s">
        <v>42</v>
      </c>
      <c r="E13" s="25">
        <f>147+60</f>
        <v>207</v>
      </c>
      <c r="F13" s="25">
        <v>207</v>
      </c>
      <c r="G13" s="96">
        <f t="shared" si="1"/>
        <v>1</v>
      </c>
      <c r="H13" s="25"/>
      <c r="I13" s="96">
        <f t="shared" si="2"/>
        <v>0</v>
      </c>
      <c r="J13" s="25"/>
      <c r="K13" s="96">
        <f t="shared" si="3"/>
        <v>0</v>
      </c>
      <c r="L13" s="25"/>
      <c r="M13" s="96">
        <f t="shared" si="4"/>
        <v>0</v>
      </c>
      <c r="N13" s="27">
        <f t="shared" si="0"/>
        <v>207</v>
      </c>
      <c r="O13" s="96">
        <f t="shared" si="5"/>
        <v>1</v>
      </c>
    </row>
    <row r="14" spans="1:18" x14ac:dyDescent="0.2">
      <c r="A14" s="79"/>
      <c r="B14" s="79"/>
      <c r="C14" s="26"/>
      <c r="D14" s="26" t="s">
        <v>43</v>
      </c>
      <c r="E14" s="25">
        <v>64</v>
      </c>
      <c r="F14" s="25"/>
      <c r="G14" s="96">
        <f t="shared" si="1"/>
        <v>0</v>
      </c>
      <c r="H14" s="25">
        <v>64</v>
      </c>
      <c r="I14" s="96">
        <f t="shared" si="2"/>
        <v>1</v>
      </c>
      <c r="J14" s="25"/>
      <c r="K14" s="96">
        <f t="shared" si="3"/>
        <v>0</v>
      </c>
      <c r="L14" s="25"/>
      <c r="M14" s="96">
        <f t="shared" si="4"/>
        <v>0</v>
      </c>
      <c r="N14" s="27">
        <f t="shared" si="0"/>
        <v>64</v>
      </c>
      <c r="O14" s="96">
        <f t="shared" si="5"/>
        <v>1</v>
      </c>
    </row>
    <row r="15" spans="1:18" x14ac:dyDescent="0.2">
      <c r="A15" s="79"/>
      <c r="B15" s="79"/>
      <c r="C15" s="26" t="s">
        <v>21</v>
      </c>
      <c r="D15" s="26"/>
      <c r="E15" s="28">
        <f>SUM(E7:E14)</f>
        <v>1218</v>
      </c>
      <c r="F15" s="27">
        <f>SUM(F7:F14)</f>
        <v>604</v>
      </c>
      <c r="G15" s="96">
        <f t="shared" si="1"/>
        <v>0.49589490968801314</v>
      </c>
      <c r="H15" s="27">
        <f>SUM(H7:H14)</f>
        <v>614</v>
      </c>
      <c r="I15" s="96">
        <f t="shared" si="2"/>
        <v>0.50410509031198691</v>
      </c>
      <c r="J15" s="27">
        <f>SUM(J7:J14)</f>
        <v>0</v>
      </c>
      <c r="K15" s="96">
        <f t="shared" si="3"/>
        <v>0</v>
      </c>
      <c r="L15" s="27">
        <f>SUM(L7:L14)</f>
        <v>0</v>
      </c>
      <c r="M15" s="96">
        <f t="shared" si="4"/>
        <v>0</v>
      </c>
      <c r="N15" s="27">
        <f t="shared" si="0"/>
        <v>1218</v>
      </c>
      <c r="O15" s="96">
        <f t="shared" si="5"/>
        <v>1</v>
      </c>
    </row>
    <row r="16" spans="1:18" x14ac:dyDescent="0.2">
      <c r="A16" s="79"/>
      <c r="B16" s="79"/>
      <c r="C16" s="26" t="s">
        <v>5</v>
      </c>
      <c r="D16" s="26" t="s">
        <v>42</v>
      </c>
      <c r="E16" s="25">
        <f>163+72</f>
        <v>235</v>
      </c>
      <c r="F16" s="25">
        <f>40+19</f>
        <v>59</v>
      </c>
      <c r="G16" s="96">
        <f t="shared" si="1"/>
        <v>0.25106382978723402</v>
      </c>
      <c r="H16" s="25"/>
      <c r="I16" s="96">
        <f t="shared" si="2"/>
        <v>0</v>
      </c>
      <c r="J16" s="25"/>
      <c r="K16" s="96">
        <f t="shared" si="3"/>
        <v>0</v>
      </c>
      <c r="L16" s="25"/>
      <c r="M16" s="96">
        <f t="shared" si="4"/>
        <v>0</v>
      </c>
      <c r="N16" s="27">
        <f t="shared" si="0"/>
        <v>59</v>
      </c>
      <c r="O16" s="96">
        <f t="shared" si="5"/>
        <v>0.25106382978723402</v>
      </c>
    </row>
    <row r="17" spans="1:24" x14ac:dyDescent="0.2">
      <c r="A17" s="79"/>
      <c r="B17" s="79"/>
      <c r="C17" s="26"/>
      <c r="D17" s="26" t="s">
        <v>43</v>
      </c>
      <c r="E17" s="25"/>
      <c r="F17" s="25"/>
      <c r="G17" s="96" t="e">
        <f t="shared" si="1"/>
        <v>#DIV/0!</v>
      </c>
      <c r="H17" s="25"/>
      <c r="I17" s="96" t="e">
        <f t="shared" si="2"/>
        <v>#DIV/0!</v>
      </c>
      <c r="J17" s="25"/>
      <c r="K17" s="96" t="e">
        <f t="shared" si="3"/>
        <v>#DIV/0!</v>
      </c>
      <c r="L17" s="25"/>
      <c r="M17" s="96" t="e">
        <f t="shared" si="4"/>
        <v>#DIV/0!</v>
      </c>
      <c r="N17" s="27">
        <f t="shared" si="0"/>
        <v>0</v>
      </c>
      <c r="O17" s="96" t="e">
        <f t="shared" si="5"/>
        <v>#DIV/0!</v>
      </c>
    </row>
    <row r="18" spans="1:24" x14ac:dyDescent="0.2">
      <c r="A18" s="79"/>
      <c r="B18" s="79"/>
      <c r="C18" s="29" t="s">
        <v>6</v>
      </c>
      <c r="D18" s="26" t="s">
        <v>42</v>
      </c>
      <c r="E18" s="25">
        <v>9</v>
      </c>
      <c r="F18" s="25">
        <v>9</v>
      </c>
      <c r="G18" s="96">
        <f t="shared" si="1"/>
        <v>1</v>
      </c>
      <c r="H18" s="25"/>
      <c r="I18" s="96">
        <f t="shared" si="2"/>
        <v>0</v>
      </c>
      <c r="J18" s="25"/>
      <c r="K18" s="96">
        <f t="shared" si="3"/>
        <v>0</v>
      </c>
      <c r="L18" s="25"/>
      <c r="M18" s="96">
        <f t="shared" si="4"/>
        <v>0</v>
      </c>
      <c r="N18" s="27">
        <f t="shared" si="0"/>
        <v>9</v>
      </c>
      <c r="O18" s="96">
        <f t="shared" si="5"/>
        <v>1</v>
      </c>
    </row>
    <row r="19" spans="1:24" x14ac:dyDescent="0.2">
      <c r="A19" s="79"/>
      <c r="B19" s="79"/>
      <c r="C19" s="29"/>
      <c r="D19" s="26" t="s">
        <v>43</v>
      </c>
      <c r="E19" s="25">
        <f>159+59</f>
        <v>218</v>
      </c>
      <c r="F19" s="25"/>
      <c r="G19" s="96">
        <f t="shared" si="1"/>
        <v>0</v>
      </c>
      <c r="H19" s="25">
        <f>13+3</f>
        <v>16</v>
      </c>
      <c r="I19" s="96">
        <f t="shared" si="2"/>
        <v>7.3394495412844041E-2</v>
      </c>
      <c r="J19" s="25"/>
      <c r="K19" s="96">
        <f t="shared" si="3"/>
        <v>0</v>
      </c>
      <c r="L19" s="25"/>
      <c r="M19" s="96">
        <f t="shared" si="4"/>
        <v>0</v>
      </c>
      <c r="N19" s="27">
        <f t="shared" si="0"/>
        <v>16</v>
      </c>
      <c r="O19" s="96">
        <f t="shared" si="5"/>
        <v>7.3394495412844041E-2</v>
      </c>
    </row>
    <row r="20" spans="1:24" x14ac:dyDescent="0.2">
      <c r="A20" s="79"/>
      <c r="B20" s="79"/>
      <c r="C20" s="29" t="s">
        <v>7</v>
      </c>
      <c r="D20" s="26" t="s">
        <v>42</v>
      </c>
      <c r="E20" s="25">
        <v>17</v>
      </c>
      <c r="F20" s="25">
        <v>17</v>
      </c>
      <c r="G20" s="96">
        <f t="shared" si="1"/>
        <v>1</v>
      </c>
      <c r="H20" s="25"/>
      <c r="I20" s="96">
        <f t="shared" si="2"/>
        <v>0</v>
      </c>
      <c r="J20" s="25"/>
      <c r="K20" s="96">
        <f t="shared" si="3"/>
        <v>0</v>
      </c>
      <c r="L20" s="25"/>
      <c r="M20" s="96">
        <f t="shared" si="4"/>
        <v>0</v>
      </c>
      <c r="N20" s="27">
        <f t="shared" si="0"/>
        <v>17</v>
      </c>
      <c r="O20" s="96">
        <f t="shared" si="5"/>
        <v>1</v>
      </c>
    </row>
    <row r="21" spans="1:24" x14ac:dyDescent="0.2">
      <c r="A21" s="79"/>
      <c r="B21" s="79"/>
      <c r="C21" s="29"/>
      <c r="D21" s="26" t="s">
        <v>43</v>
      </c>
      <c r="E21" s="25">
        <f>125+56</f>
        <v>181</v>
      </c>
      <c r="F21" s="25"/>
      <c r="G21" s="96">
        <f t="shared" si="1"/>
        <v>0</v>
      </c>
      <c r="H21" s="25">
        <v>11</v>
      </c>
      <c r="I21" s="96">
        <f t="shared" si="2"/>
        <v>6.0773480662983423E-2</v>
      </c>
      <c r="J21" s="25"/>
      <c r="K21" s="96">
        <f t="shared" si="3"/>
        <v>0</v>
      </c>
      <c r="L21" s="25"/>
      <c r="M21" s="96">
        <f t="shared" si="4"/>
        <v>0</v>
      </c>
      <c r="N21" s="27">
        <f t="shared" si="0"/>
        <v>11</v>
      </c>
      <c r="O21" s="96">
        <f t="shared" si="5"/>
        <v>6.0773480662983423E-2</v>
      </c>
    </row>
    <row r="22" spans="1:24" x14ac:dyDescent="0.2">
      <c r="A22" s="79"/>
      <c r="B22" s="79"/>
      <c r="C22" s="29" t="s">
        <v>8</v>
      </c>
      <c r="D22" s="26" t="s">
        <v>42</v>
      </c>
      <c r="E22" s="25">
        <f>146+56</f>
        <v>202</v>
      </c>
      <c r="F22" s="25">
        <v>12</v>
      </c>
      <c r="G22" s="96">
        <f t="shared" si="1"/>
        <v>5.9405940594059403E-2</v>
      </c>
      <c r="H22" s="25"/>
      <c r="I22" s="96">
        <f t="shared" si="2"/>
        <v>0</v>
      </c>
      <c r="J22" s="25"/>
      <c r="K22" s="96">
        <f t="shared" si="3"/>
        <v>0</v>
      </c>
      <c r="L22" s="25"/>
      <c r="M22" s="96">
        <f t="shared" si="4"/>
        <v>0</v>
      </c>
      <c r="N22" s="27">
        <f t="shared" si="0"/>
        <v>12</v>
      </c>
      <c r="O22" s="96">
        <f t="shared" si="5"/>
        <v>5.9405940594059403E-2</v>
      </c>
    </row>
    <row r="23" spans="1:24" x14ac:dyDescent="0.2">
      <c r="A23" s="79"/>
      <c r="B23" s="79"/>
      <c r="C23" s="29"/>
      <c r="D23" s="26" t="s">
        <v>43</v>
      </c>
      <c r="E23" s="25"/>
      <c r="F23" s="25"/>
      <c r="G23" s="96" t="e">
        <f t="shared" si="1"/>
        <v>#DIV/0!</v>
      </c>
      <c r="H23" s="25"/>
      <c r="I23" s="96" t="e">
        <f t="shared" si="2"/>
        <v>#DIV/0!</v>
      </c>
      <c r="J23" s="25"/>
      <c r="K23" s="96" t="e">
        <f t="shared" si="3"/>
        <v>#DIV/0!</v>
      </c>
      <c r="L23" s="25"/>
      <c r="M23" s="96" t="e">
        <f t="shared" si="4"/>
        <v>#DIV/0!</v>
      </c>
      <c r="N23" s="27">
        <f t="shared" si="0"/>
        <v>0</v>
      </c>
      <c r="O23" s="96" t="e">
        <f t="shared" si="5"/>
        <v>#DIV/0!</v>
      </c>
    </row>
    <row r="24" spans="1:24" x14ac:dyDescent="0.2">
      <c r="A24" s="79"/>
      <c r="B24" s="79"/>
      <c r="C24" s="29" t="s">
        <v>9</v>
      </c>
      <c r="D24" s="26" t="s">
        <v>42</v>
      </c>
      <c r="E24" s="25">
        <f>129+53</f>
        <v>182</v>
      </c>
      <c r="F24" s="25">
        <v>12</v>
      </c>
      <c r="G24" s="96">
        <f t="shared" si="1"/>
        <v>6.5934065934065936E-2</v>
      </c>
      <c r="H24" s="25"/>
      <c r="I24" s="96">
        <f t="shared" si="2"/>
        <v>0</v>
      </c>
      <c r="J24" s="25"/>
      <c r="K24" s="96">
        <f t="shared" si="3"/>
        <v>0</v>
      </c>
      <c r="L24" s="25"/>
      <c r="M24" s="96">
        <f t="shared" si="4"/>
        <v>0</v>
      </c>
      <c r="N24" s="27">
        <f t="shared" si="0"/>
        <v>12</v>
      </c>
      <c r="O24" s="96">
        <f t="shared" si="5"/>
        <v>6.5934065934065936E-2</v>
      </c>
    </row>
    <row r="25" spans="1:24" x14ac:dyDescent="0.2">
      <c r="A25" s="79"/>
      <c r="B25" s="79"/>
      <c r="C25" s="29" t="s">
        <v>22</v>
      </c>
      <c r="D25" s="29"/>
      <c r="E25" s="28">
        <f>SUM(E16:E24)</f>
        <v>1044</v>
      </c>
      <c r="F25" s="28">
        <f>SUM(F16:F24)</f>
        <v>109</v>
      </c>
      <c r="G25" s="96">
        <f t="shared" si="1"/>
        <v>0.10440613026819924</v>
      </c>
      <c r="H25" s="28">
        <f>SUM(H16:H24)</f>
        <v>27</v>
      </c>
      <c r="I25" s="96">
        <f t="shared" si="2"/>
        <v>2.5862068965517241E-2</v>
      </c>
      <c r="J25" s="28">
        <f>SUM(J16:J24)</f>
        <v>0</v>
      </c>
      <c r="K25" s="96">
        <f t="shared" si="3"/>
        <v>0</v>
      </c>
      <c r="L25" s="27">
        <f>SUM(L16:L24)</f>
        <v>0</v>
      </c>
      <c r="M25" s="96">
        <f t="shared" si="4"/>
        <v>0</v>
      </c>
      <c r="N25" s="27">
        <f t="shared" si="0"/>
        <v>136</v>
      </c>
      <c r="O25" s="96">
        <f t="shared" si="5"/>
        <v>0.13026819923371646</v>
      </c>
    </row>
    <row r="26" spans="1:24" ht="14.25" customHeight="1" x14ac:dyDescent="0.2">
      <c r="A26" s="79"/>
      <c r="B26" s="79"/>
      <c r="C26" s="29" t="s">
        <v>10</v>
      </c>
      <c r="D26" s="26" t="s">
        <v>42</v>
      </c>
      <c r="E26" s="25">
        <v>34</v>
      </c>
      <c r="F26" s="30"/>
      <c r="G26" s="96">
        <f t="shared" si="1"/>
        <v>0</v>
      </c>
      <c r="H26" s="30"/>
      <c r="I26" s="96">
        <f t="shared" si="2"/>
        <v>0</v>
      </c>
      <c r="J26" s="30"/>
      <c r="K26" s="96">
        <f t="shared" si="3"/>
        <v>0</v>
      </c>
      <c r="L26" s="30"/>
      <c r="M26" s="96">
        <f t="shared" si="4"/>
        <v>0</v>
      </c>
      <c r="N26" s="27">
        <f t="shared" si="0"/>
        <v>0</v>
      </c>
      <c r="O26" s="96">
        <f t="shared" si="5"/>
        <v>0</v>
      </c>
    </row>
    <row r="27" spans="1:24" ht="15.75" customHeight="1" x14ac:dyDescent="0.2">
      <c r="A27" s="79"/>
      <c r="B27" s="79"/>
      <c r="C27" s="29" t="s">
        <v>11</v>
      </c>
      <c r="D27" s="26" t="s">
        <v>42</v>
      </c>
      <c r="E27" s="25">
        <f>26+21</f>
        <v>47</v>
      </c>
      <c r="F27" s="30"/>
      <c r="G27" s="96">
        <f t="shared" si="1"/>
        <v>0</v>
      </c>
      <c r="H27" s="30"/>
      <c r="I27" s="96">
        <f t="shared" si="2"/>
        <v>0</v>
      </c>
      <c r="J27" s="30"/>
      <c r="K27" s="96">
        <f t="shared" si="3"/>
        <v>0</v>
      </c>
      <c r="L27" s="30"/>
      <c r="M27" s="96">
        <f t="shared" si="4"/>
        <v>0</v>
      </c>
      <c r="N27" s="27">
        <f t="shared" si="0"/>
        <v>0</v>
      </c>
      <c r="O27" s="96">
        <f t="shared" si="5"/>
        <v>0</v>
      </c>
    </row>
    <row r="28" spans="1:24" x14ac:dyDescent="0.2">
      <c r="A28" s="79"/>
      <c r="B28" s="79"/>
      <c r="C28" s="29" t="s">
        <v>23</v>
      </c>
      <c r="D28" s="29"/>
      <c r="E28" s="28">
        <f>SUM(E26:E27)</f>
        <v>81</v>
      </c>
      <c r="F28" s="27">
        <f>SUM(F26:F27)</f>
        <v>0</v>
      </c>
      <c r="G28" s="96">
        <f t="shared" si="1"/>
        <v>0</v>
      </c>
      <c r="H28" s="27">
        <f>SUM(H26:H27)</f>
        <v>0</v>
      </c>
      <c r="I28" s="96">
        <f t="shared" si="2"/>
        <v>0</v>
      </c>
      <c r="J28" s="27">
        <f>SUM(J26:J27)</f>
        <v>0</v>
      </c>
      <c r="K28" s="96">
        <f t="shared" si="3"/>
        <v>0</v>
      </c>
      <c r="L28" s="27">
        <f>SUM(L26:L27)</f>
        <v>0</v>
      </c>
      <c r="M28" s="96">
        <f t="shared" si="4"/>
        <v>0</v>
      </c>
      <c r="N28" s="27">
        <f t="shared" si="0"/>
        <v>0</v>
      </c>
      <c r="O28" s="96">
        <f t="shared" si="5"/>
        <v>0</v>
      </c>
    </row>
    <row r="29" spans="1:24" ht="15" customHeight="1" x14ac:dyDescent="0.2">
      <c r="A29" s="80"/>
      <c r="B29" s="80"/>
      <c r="C29" s="26" t="s">
        <v>0</v>
      </c>
      <c r="D29" s="26"/>
      <c r="E29" s="28">
        <f>E15+E25+E28</f>
        <v>2343</v>
      </c>
      <c r="F29" s="28">
        <f>F15+F25+F28</f>
        <v>713</v>
      </c>
      <c r="G29" s="96">
        <f t="shared" si="1"/>
        <v>0.30431071276141697</v>
      </c>
      <c r="H29" s="27">
        <f>H15+H25+H28</f>
        <v>641</v>
      </c>
      <c r="I29" s="96">
        <f t="shared" si="2"/>
        <v>0.27358087921468205</v>
      </c>
      <c r="J29" s="27">
        <f>J15+J25+J28</f>
        <v>0</v>
      </c>
      <c r="K29" s="96">
        <f t="shared" si="3"/>
        <v>0</v>
      </c>
      <c r="L29" s="27">
        <f>L28+L25+L15</f>
        <v>0</v>
      </c>
      <c r="M29" s="96">
        <f t="shared" si="4"/>
        <v>0</v>
      </c>
      <c r="N29" s="27">
        <f t="shared" si="0"/>
        <v>1354</v>
      </c>
      <c r="O29" s="96">
        <f t="shared" si="5"/>
        <v>0.57789159197609907</v>
      </c>
    </row>
    <row r="30" spans="1:24" ht="45.75" customHeight="1" x14ac:dyDescent="0.2">
      <c r="A30" s="109" t="s">
        <v>104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24" s="90" customFormat="1" ht="16.5" customHeight="1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">
      <c r="A32" s="108" t="s">
        <v>70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1:8" x14ac:dyDescent="0.2">
      <c r="A33" s="55"/>
      <c r="B33" s="55"/>
      <c r="C33" s="31"/>
      <c r="D33" s="31"/>
      <c r="E33" s="31"/>
      <c r="F33" s="31"/>
      <c r="G33" s="31"/>
      <c r="H33" s="31"/>
    </row>
  </sheetData>
  <protectedRanges>
    <protectedRange password="CF7A" sqref="G7:G29 I7:I29 K7:K29 M7:M29 O7:O29" name="Диапазон1"/>
  </protectedRanges>
  <autoFilter ref="A6:X30"/>
  <customSheetViews>
    <customSheetView guid="{F5FAE67C-CEE2-4A2A-9069-07B5744A8E99}" showAutoFilter="1">
      <pane ySplit="6" topLeftCell="A7" activePane="bottomLeft" state="frozen"/>
      <selection pane="bottomLeft" activeCell="R11" sqref="R11"/>
      <pageMargins left="0.19685039370078741" right="0.19685039370078741" top="0.39370078740157483" bottom="0.39370078740157483" header="0.51181102362204722" footer="0.51181102362204722"/>
      <pageSetup paperSize="9" orientation="landscape" r:id="rId1"/>
      <headerFooter alignWithMargins="0"/>
      <autoFilter ref="A6:X30"/>
    </customSheetView>
  </customSheetViews>
  <mergeCells count="10">
    <mergeCell ref="A1:O1"/>
    <mergeCell ref="A32:O32"/>
    <mergeCell ref="A30:O30"/>
    <mergeCell ref="A2:O2"/>
    <mergeCell ref="F4:O4"/>
    <mergeCell ref="A4:A5"/>
    <mergeCell ref="B4:B5"/>
    <mergeCell ref="C4:C5"/>
    <mergeCell ref="E4:E5"/>
    <mergeCell ref="D4:D5"/>
  </mergeCells>
  <phoneticPr fontId="1" type="noConversion"/>
  <conditionalFormatting sqref="K7:K29 M7:M29 O7:O29 I7:I29 G7:G29">
    <cfRule type="cellIs" dxfId="3" priority="1" operator="greaterThan">
      <formula>1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zoomScaleNormal="100" workbookViewId="0">
      <pane ySplit="6" topLeftCell="A7" activePane="bottomLeft" state="frozen"/>
      <selection pane="bottomLeft" activeCell="J23" sqref="J23"/>
    </sheetView>
  </sheetViews>
  <sheetFormatPr defaultRowHeight="15" x14ac:dyDescent="0.2"/>
  <cols>
    <col min="1" max="1" width="4.7109375" style="81" customWidth="1"/>
    <col min="2" max="2" width="7.28515625" style="81" customWidth="1"/>
    <col min="3" max="3" width="7" style="19" customWidth="1"/>
    <col min="4" max="4" width="8.7109375" style="19" customWidth="1"/>
    <col min="5" max="5" width="8.5703125" style="19" customWidth="1"/>
    <col min="6" max="6" width="8.28515625" style="19" customWidth="1"/>
    <col min="7" max="7" width="9" style="19" bestFit="1" customWidth="1"/>
    <col min="8" max="8" width="7.28515625" style="19" customWidth="1"/>
    <col min="9" max="9" width="9" style="19" bestFit="1" customWidth="1"/>
    <col min="10" max="10" width="8.5703125" style="19" bestFit="1" customWidth="1"/>
    <col min="11" max="11" width="9" style="19" bestFit="1" customWidth="1"/>
    <col min="12" max="12" width="6.85546875" style="19" customWidth="1"/>
    <col min="13" max="13" width="9" style="19" bestFit="1" customWidth="1"/>
    <col min="14" max="14" width="12.7109375" style="19" customWidth="1"/>
    <col min="15" max="15" width="8" style="20" customWidth="1"/>
    <col min="16" max="18" width="9.140625" style="20"/>
    <col min="19" max="19" width="8.5703125" style="20" customWidth="1"/>
    <col min="20" max="20" width="9.85546875" style="20" customWidth="1"/>
    <col min="21" max="22" width="7.7109375" style="20" customWidth="1"/>
    <col min="23" max="23" width="9.5703125" style="20" customWidth="1"/>
    <col min="24" max="24" width="13.140625" style="20" customWidth="1"/>
    <col min="25" max="16384" width="9.140625" style="20"/>
  </cols>
  <sheetData>
    <row r="1" spans="1:24" x14ac:dyDescent="0.2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4" ht="17.25" customHeight="1" x14ac:dyDescent="0.2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1"/>
      <c r="P2" s="33"/>
      <c r="Q2" s="33"/>
      <c r="R2" s="33"/>
      <c r="S2" s="33"/>
      <c r="T2" s="33"/>
      <c r="U2" s="33"/>
      <c r="V2" s="33"/>
      <c r="W2" s="33"/>
      <c r="X2" s="33"/>
    </row>
    <row r="3" spans="1:24" ht="17.25" customHeight="1" x14ac:dyDescent="0.2">
      <c r="A3" s="56"/>
      <c r="B3" s="56"/>
      <c r="C3" s="52"/>
      <c r="D3" s="52"/>
      <c r="E3" s="52"/>
      <c r="F3" s="42"/>
      <c r="G3" s="42"/>
      <c r="H3" s="42"/>
      <c r="I3" s="42"/>
      <c r="J3" s="42"/>
      <c r="K3" s="42"/>
      <c r="L3" s="42"/>
      <c r="M3" s="42"/>
      <c r="N3" s="52"/>
      <c r="O3" s="21"/>
      <c r="P3" s="33"/>
      <c r="Q3" s="33"/>
      <c r="R3" s="33"/>
      <c r="S3" s="33"/>
      <c r="T3" s="33"/>
      <c r="U3" s="33"/>
      <c r="V3" s="33"/>
      <c r="W3" s="33"/>
      <c r="X3" s="33"/>
    </row>
    <row r="4" spans="1:24" ht="46.5" customHeight="1" x14ac:dyDescent="0.2">
      <c r="A4" s="112" t="s">
        <v>14</v>
      </c>
      <c r="B4" s="112" t="s">
        <v>24</v>
      </c>
      <c r="C4" s="114" t="s">
        <v>12</v>
      </c>
      <c r="D4" s="114" t="s">
        <v>81</v>
      </c>
      <c r="E4" s="114" t="s">
        <v>61</v>
      </c>
      <c r="F4" s="111"/>
      <c r="G4" s="111"/>
      <c r="H4" s="111"/>
      <c r="I4" s="111"/>
      <c r="J4" s="111"/>
      <c r="K4" s="111"/>
      <c r="L4" s="111"/>
      <c r="M4" s="111"/>
      <c r="N4" s="114" t="s">
        <v>25</v>
      </c>
    </row>
    <row r="5" spans="1:24" ht="60.75" customHeight="1" x14ac:dyDescent="0.2">
      <c r="A5" s="113"/>
      <c r="B5" s="113"/>
      <c r="C5" s="115"/>
      <c r="D5" s="115"/>
      <c r="E5" s="115"/>
      <c r="F5" s="23" t="s">
        <v>16</v>
      </c>
      <c r="G5" s="32" t="s">
        <v>13</v>
      </c>
      <c r="H5" s="23" t="s">
        <v>17</v>
      </c>
      <c r="I5" s="32" t="s">
        <v>13</v>
      </c>
      <c r="J5" s="23" t="s">
        <v>18</v>
      </c>
      <c r="K5" s="32" t="s">
        <v>13</v>
      </c>
      <c r="L5" s="23" t="s">
        <v>19</v>
      </c>
      <c r="M5" s="32" t="s">
        <v>13</v>
      </c>
      <c r="N5" s="115"/>
    </row>
    <row r="6" spans="1:24" x14ac:dyDescent="0.2">
      <c r="A6" s="57">
        <v>1</v>
      </c>
      <c r="B6" s="57">
        <v>2</v>
      </c>
      <c r="C6" s="22">
        <v>3</v>
      </c>
      <c r="D6" s="22"/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</row>
    <row r="7" spans="1:24" ht="28.5" x14ac:dyDescent="0.2">
      <c r="A7" s="58" t="str">
        <f>'1. охват орг. питанием'!A7</f>
        <v>К</v>
      </c>
      <c r="B7" s="58" t="str">
        <f>'1. охват орг. питанием'!B7</f>
        <v>СинТез</v>
      </c>
      <c r="C7" s="26" t="s">
        <v>1</v>
      </c>
      <c r="D7" s="26" t="s">
        <v>42</v>
      </c>
      <c r="E7" s="98">
        <f>253+82</f>
        <v>335</v>
      </c>
      <c r="F7" s="99"/>
      <c r="G7" s="100">
        <f>F7/$E7</f>
        <v>0</v>
      </c>
      <c r="H7" s="99"/>
      <c r="I7" s="100">
        <f>H7/$E7</f>
        <v>0</v>
      </c>
      <c r="J7" s="99"/>
      <c r="K7" s="100">
        <f>J7/$E7</f>
        <v>0</v>
      </c>
      <c r="L7" s="101">
        <f t="shared" ref="L7:L24" si="0">F7+H7+J7</f>
        <v>0</v>
      </c>
      <c r="M7" s="100">
        <f>L7/$E7</f>
        <v>0</v>
      </c>
      <c r="N7" s="102"/>
    </row>
    <row r="8" spans="1:24" x14ac:dyDescent="0.2">
      <c r="A8" s="78"/>
      <c r="B8" s="78"/>
      <c r="C8" s="26"/>
      <c r="D8" s="26" t="s">
        <v>43</v>
      </c>
      <c r="E8" s="98"/>
      <c r="F8" s="99"/>
      <c r="G8" s="100" t="e">
        <f t="shared" ref="G8:G29" si="1">F8/$E8</f>
        <v>#DIV/0!</v>
      </c>
      <c r="H8" s="99"/>
      <c r="I8" s="100" t="e">
        <f t="shared" ref="I8:K29" si="2">H8/$E8</f>
        <v>#DIV/0!</v>
      </c>
      <c r="J8" s="99"/>
      <c r="K8" s="100" t="e">
        <f t="shared" si="2"/>
        <v>#DIV/0!</v>
      </c>
      <c r="L8" s="101">
        <f t="shared" si="0"/>
        <v>0</v>
      </c>
      <c r="M8" s="100" t="e">
        <f t="shared" ref="M8" si="3">L8/$E8</f>
        <v>#DIV/0!</v>
      </c>
      <c r="N8" s="102"/>
    </row>
    <row r="9" spans="1:24" x14ac:dyDescent="0.2">
      <c r="A9" s="79"/>
      <c r="B9" s="79"/>
      <c r="C9" s="26" t="s">
        <v>2</v>
      </c>
      <c r="D9" s="26" t="s">
        <v>42</v>
      </c>
      <c r="E9" s="98">
        <v>29</v>
      </c>
      <c r="F9" s="99"/>
      <c r="G9" s="100">
        <f t="shared" si="1"/>
        <v>0</v>
      </c>
      <c r="H9" s="99"/>
      <c r="I9" s="100">
        <f t="shared" si="2"/>
        <v>0</v>
      </c>
      <c r="J9" s="99"/>
      <c r="K9" s="100">
        <f t="shared" si="2"/>
        <v>0</v>
      </c>
      <c r="L9" s="101">
        <f t="shared" si="0"/>
        <v>0</v>
      </c>
      <c r="M9" s="100">
        <f t="shared" ref="M9" si="4">L9/$E9</f>
        <v>0</v>
      </c>
      <c r="N9" s="102"/>
    </row>
    <row r="10" spans="1:24" x14ac:dyDescent="0.2">
      <c r="A10" s="79"/>
      <c r="B10" s="79"/>
      <c r="C10" s="26"/>
      <c r="D10" s="26" t="s">
        <v>43</v>
      </c>
      <c r="E10" s="98">
        <f>212+70</f>
        <v>282</v>
      </c>
      <c r="F10" s="99"/>
      <c r="G10" s="100">
        <f t="shared" si="1"/>
        <v>0</v>
      </c>
      <c r="H10" s="99"/>
      <c r="I10" s="100">
        <f t="shared" si="2"/>
        <v>0</v>
      </c>
      <c r="J10" s="99"/>
      <c r="K10" s="100">
        <f t="shared" si="2"/>
        <v>0</v>
      </c>
      <c r="L10" s="101">
        <f t="shared" si="0"/>
        <v>0</v>
      </c>
      <c r="M10" s="100">
        <f t="shared" ref="M10" si="5">L10/$E10</f>
        <v>0</v>
      </c>
      <c r="N10" s="102"/>
    </row>
    <row r="11" spans="1:24" x14ac:dyDescent="0.2">
      <c r="A11" s="79"/>
      <c r="B11" s="79"/>
      <c r="C11" s="26" t="s">
        <v>3</v>
      </c>
      <c r="D11" s="26" t="s">
        <v>42</v>
      </c>
      <c r="E11" s="98">
        <v>33</v>
      </c>
      <c r="F11" s="99"/>
      <c r="G11" s="100">
        <f t="shared" si="1"/>
        <v>0</v>
      </c>
      <c r="H11" s="99"/>
      <c r="I11" s="100">
        <f t="shared" si="2"/>
        <v>0</v>
      </c>
      <c r="J11" s="99"/>
      <c r="K11" s="100">
        <f t="shared" si="2"/>
        <v>0</v>
      </c>
      <c r="L11" s="101">
        <f t="shared" si="0"/>
        <v>0</v>
      </c>
      <c r="M11" s="100">
        <f t="shared" ref="M11" si="6">L11/$E11</f>
        <v>0</v>
      </c>
      <c r="N11" s="102"/>
    </row>
    <row r="12" spans="1:24" x14ac:dyDescent="0.2">
      <c r="A12" s="79"/>
      <c r="B12" s="79"/>
      <c r="C12" s="26"/>
      <c r="D12" s="26" t="s">
        <v>43</v>
      </c>
      <c r="E12" s="98">
        <f>187+81</f>
        <v>268</v>
      </c>
      <c r="F12" s="99"/>
      <c r="G12" s="100">
        <f t="shared" si="1"/>
        <v>0</v>
      </c>
      <c r="H12" s="99"/>
      <c r="I12" s="100">
        <f t="shared" si="2"/>
        <v>0</v>
      </c>
      <c r="J12" s="99"/>
      <c r="K12" s="100">
        <f t="shared" si="2"/>
        <v>0</v>
      </c>
      <c r="L12" s="101">
        <f t="shared" si="0"/>
        <v>0</v>
      </c>
      <c r="M12" s="100">
        <f t="shared" ref="M12" si="7">L12/$E12</f>
        <v>0</v>
      </c>
      <c r="N12" s="102"/>
    </row>
    <row r="13" spans="1:24" x14ac:dyDescent="0.2">
      <c r="A13" s="79"/>
      <c r="B13" s="79"/>
      <c r="C13" s="26" t="s">
        <v>4</v>
      </c>
      <c r="D13" s="26" t="s">
        <v>42</v>
      </c>
      <c r="E13" s="98">
        <f>147+60</f>
        <v>207</v>
      </c>
      <c r="F13" s="99"/>
      <c r="G13" s="100">
        <f t="shared" si="1"/>
        <v>0</v>
      </c>
      <c r="H13" s="99"/>
      <c r="I13" s="100">
        <f t="shared" si="2"/>
        <v>0</v>
      </c>
      <c r="J13" s="99"/>
      <c r="K13" s="100">
        <f t="shared" si="2"/>
        <v>0</v>
      </c>
      <c r="L13" s="101">
        <f t="shared" si="0"/>
        <v>0</v>
      </c>
      <c r="M13" s="100">
        <f t="shared" ref="M13" si="8">L13/$E13</f>
        <v>0</v>
      </c>
      <c r="N13" s="102"/>
    </row>
    <row r="14" spans="1:24" x14ac:dyDescent="0.2">
      <c r="A14" s="79"/>
      <c r="B14" s="79"/>
      <c r="C14" s="26"/>
      <c r="D14" s="26" t="s">
        <v>43</v>
      </c>
      <c r="E14" s="98">
        <v>64</v>
      </c>
      <c r="F14" s="99"/>
      <c r="G14" s="100">
        <f t="shared" si="1"/>
        <v>0</v>
      </c>
      <c r="H14" s="99"/>
      <c r="I14" s="100">
        <f t="shared" si="2"/>
        <v>0</v>
      </c>
      <c r="J14" s="99"/>
      <c r="K14" s="100">
        <f t="shared" si="2"/>
        <v>0</v>
      </c>
      <c r="L14" s="101">
        <f t="shared" si="0"/>
        <v>0</v>
      </c>
      <c r="M14" s="100">
        <f t="shared" ref="M14" si="9">L14/$E14</f>
        <v>0</v>
      </c>
      <c r="N14" s="102"/>
    </row>
    <row r="15" spans="1:24" ht="17.25" customHeight="1" x14ac:dyDescent="0.2">
      <c r="A15" s="79"/>
      <c r="B15" s="79"/>
      <c r="C15" s="26" t="s">
        <v>21</v>
      </c>
      <c r="D15" s="26"/>
      <c r="E15" s="36">
        <f>SUM(E7:E14)</f>
        <v>1218</v>
      </c>
      <c r="F15" s="27">
        <f>SUM(F7:F14)</f>
        <v>0</v>
      </c>
      <c r="G15" s="96">
        <f t="shared" si="1"/>
        <v>0</v>
      </c>
      <c r="H15" s="28">
        <f>SUM(H7:H14)</f>
        <v>0</v>
      </c>
      <c r="I15" s="96">
        <f t="shared" si="2"/>
        <v>0</v>
      </c>
      <c r="J15" s="27">
        <f>SUM(J7:J14)</f>
        <v>0</v>
      </c>
      <c r="K15" s="96">
        <f t="shared" si="2"/>
        <v>0</v>
      </c>
      <c r="L15" s="27">
        <f t="shared" si="0"/>
        <v>0</v>
      </c>
      <c r="M15" s="96">
        <f t="shared" ref="M15" si="10">L15/$E15</f>
        <v>0</v>
      </c>
      <c r="N15" s="27">
        <f>SUM(N7:N14)</f>
        <v>0</v>
      </c>
    </row>
    <row r="16" spans="1:24" x14ac:dyDescent="0.2">
      <c r="A16" s="79"/>
      <c r="B16" s="79"/>
      <c r="C16" s="26" t="s">
        <v>5</v>
      </c>
      <c r="D16" s="26" t="s">
        <v>42</v>
      </c>
      <c r="E16" s="34">
        <f>163+72</f>
        <v>235</v>
      </c>
      <c r="F16" s="30">
        <f>35+8</f>
        <v>43</v>
      </c>
      <c r="G16" s="96">
        <f t="shared" si="1"/>
        <v>0.18297872340425531</v>
      </c>
      <c r="H16" s="30"/>
      <c r="I16" s="96">
        <f t="shared" si="2"/>
        <v>0</v>
      </c>
      <c r="J16" s="30">
        <v>6</v>
      </c>
      <c r="K16" s="96">
        <f t="shared" si="2"/>
        <v>2.553191489361702E-2</v>
      </c>
      <c r="L16" s="28">
        <f t="shared" si="0"/>
        <v>49</v>
      </c>
      <c r="M16" s="96">
        <f t="shared" ref="M16" si="11">L16/$E16</f>
        <v>0.20851063829787234</v>
      </c>
      <c r="N16" s="35"/>
    </row>
    <row r="17" spans="1:14" x14ac:dyDescent="0.2">
      <c r="A17" s="79"/>
      <c r="B17" s="79"/>
      <c r="C17" s="26"/>
      <c r="D17" s="26" t="s">
        <v>43</v>
      </c>
      <c r="E17" s="34"/>
      <c r="F17" s="30"/>
      <c r="G17" s="96" t="e">
        <f t="shared" si="1"/>
        <v>#DIV/0!</v>
      </c>
      <c r="H17" s="30"/>
      <c r="I17" s="96" t="e">
        <f t="shared" si="2"/>
        <v>#DIV/0!</v>
      </c>
      <c r="J17" s="30"/>
      <c r="K17" s="96" t="e">
        <f t="shared" si="2"/>
        <v>#DIV/0!</v>
      </c>
      <c r="L17" s="28">
        <f t="shared" si="0"/>
        <v>0</v>
      </c>
      <c r="M17" s="96" t="e">
        <f t="shared" ref="M17" si="12">L17/$E17</f>
        <v>#DIV/0!</v>
      </c>
      <c r="N17" s="35"/>
    </row>
    <row r="18" spans="1:14" x14ac:dyDescent="0.2">
      <c r="A18" s="79"/>
      <c r="B18" s="79"/>
      <c r="C18" s="29" t="s">
        <v>6</v>
      </c>
      <c r="D18" s="26" t="s">
        <v>42</v>
      </c>
      <c r="E18" s="34">
        <v>9</v>
      </c>
      <c r="F18" s="30"/>
      <c r="G18" s="96">
        <f t="shared" si="1"/>
        <v>0</v>
      </c>
      <c r="H18" s="30"/>
      <c r="I18" s="96">
        <f t="shared" si="2"/>
        <v>0</v>
      </c>
      <c r="J18" s="30"/>
      <c r="K18" s="96">
        <f t="shared" si="2"/>
        <v>0</v>
      </c>
      <c r="L18" s="28">
        <f t="shared" si="0"/>
        <v>0</v>
      </c>
      <c r="M18" s="96">
        <f t="shared" ref="M18" si="13">L18/$E18</f>
        <v>0</v>
      </c>
      <c r="N18" s="35"/>
    </row>
    <row r="19" spans="1:14" x14ac:dyDescent="0.2">
      <c r="A19" s="79"/>
      <c r="B19" s="79"/>
      <c r="C19" s="29"/>
      <c r="D19" s="26" t="s">
        <v>43</v>
      </c>
      <c r="E19" s="34">
        <f>159+59</f>
        <v>218</v>
      </c>
      <c r="F19" s="30"/>
      <c r="G19" s="96">
        <f t="shared" si="1"/>
        <v>0</v>
      </c>
      <c r="H19" s="30">
        <f>42+24</f>
        <v>66</v>
      </c>
      <c r="I19" s="96">
        <f t="shared" si="2"/>
        <v>0.30275229357798167</v>
      </c>
      <c r="J19" s="30"/>
      <c r="K19" s="96">
        <f t="shared" si="2"/>
        <v>0</v>
      </c>
      <c r="L19" s="28">
        <f t="shared" si="0"/>
        <v>66</v>
      </c>
      <c r="M19" s="96">
        <f t="shared" ref="M19" si="14">L19/$E19</f>
        <v>0.30275229357798167</v>
      </c>
      <c r="N19" s="35"/>
    </row>
    <row r="20" spans="1:14" x14ac:dyDescent="0.2">
      <c r="A20" s="79"/>
      <c r="B20" s="79"/>
      <c r="C20" s="29" t="s">
        <v>7</v>
      </c>
      <c r="D20" s="26" t="s">
        <v>42</v>
      </c>
      <c r="E20" s="34">
        <v>17</v>
      </c>
      <c r="F20" s="30"/>
      <c r="G20" s="96">
        <f t="shared" si="1"/>
        <v>0</v>
      </c>
      <c r="H20" s="30"/>
      <c r="I20" s="96">
        <f t="shared" si="2"/>
        <v>0</v>
      </c>
      <c r="J20" s="30"/>
      <c r="K20" s="96">
        <f t="shared" si="2"/>
        <v>0</v>
      </c>
      <c r="L20" s="28">
        <f t="shared" si="0"/>
        <v>0</v>
      </c>
      <c r="M20" s="96">
        <f t="shared" ref="M20" si="15">L20/$E20</f>
        <v>0</v>
      </c>
      <c r="N20" s="35"/>
    </row>
    <row r="21" spans="1:14" x14ac:dyDescent="0.2">
      <c r="A21" s="79"/>
      <c r="B21" s="79"/>
      <c r="C21" s="29"/>
      <c r="D21" s="26" t="s">
        <v>43</v>
      </c>
      <c r="E21" s="34">
        <f>125+56</f>
        <v>181</v>
      </c>
      <c r="F21" s="30"/>
      <c r="G21" s="96">
        <f t="shared" si="1"/>
        <v>0</v>
      </c>
      <c r="H21" s="30">
        <f>56+24</f>
        <v>80</v>
      </c>
      <c r="I21" s="96">
        <f t="shared" si="2"/>
        <v>0.44198895027624308</v>
      </c>
      <c r="J21" s="30"/>
      <c r="K21" s="96">
        <f t="shared" si="2"/>
        <v>0</v>
      </c>
      <c r="L21" s="28">
        <f t="shared" si="0"/>
        <v>80</v>
      </c>
      <c r="M21" s="96">
        <f t="shared" ref="M21" si="16">L21/$E21</f>
        <v>0.44198895027624308</v>
      </c>
      <c r="N21" s="35"/>
    </row>
    <row r="22" spans="1:14" x14ac:dyDescent="0.2">
      <c r="A22" s="79"/>
      <c r="B22" s="79"/>
      <c r="C22" s="29" t="s">
        <v>8</v>
      </c>
      <c r="D22" s="26" t="s">
        <v>42</v>
      </c>
      <c r="E22" s="34">
        <f>146+56</f>
        <v>202</v>
      </c>
      <c r="F22" s="30">
        <f>54+14</f>
        <v>68</v>
      </c>
      <c r="G22" s="96">
        <f t="shared" si="1"/>
        <v>0.33663366336633666</v>
      </c>
      <c r="H22" s="30"/>
      <c r="I22" s="96">
        <f t="shared" si="2"/>
        <v>0</v>
      </c>
      <c r="J22" s="30">
        <v>9</v>
      </c>
      <c r="K22" s="96">
        <f t="shared" si="2"/>
        <v>4.4554455445544552E-2</v>
      </c>
      <c r="L22" s="28">
        <f t="shared" si="0"/>
        <v>77</v>
      </c>
      <c r="M22" s="96">
        <f t="shared" ref="M22" si="17">L22/$E22</f>
        <v>0.38118811881188119</v>
      </c>
      <c r="N22" s="35"/>
    </row>
    <row r="23" spans="1:14" x14ac:dyDescent="0.2">
      <c r="A23" s="79"/>
      <c r="B23" s="79"/>
      <c r="C23" s="29"/>
      <c r="D23" s="26" t="s">
        <v>43</v>
      </c>
      <c r="E23" s="34"/>
      <c r="F23" s="30"/>
      <c r="G23" s="96" t="e">
        <f t="shared" si="1"/>
        <v>#DIV/0!</v>
      </c>
      <c r="H23" s="30"/>
      <c r="I23" s="96" t="e">
        <f t="shared" si="2"/>
        <v>#DIV/0!</v>
      </c>
      <c r="J23" s="30"/>
      <c r="K23" s="96" t="e">
        <f t="shared" si="2"/>
        <v>#DIV/0!</v>
      </c>
      <c r="L23" s="28">
        <f t="shared" si="0"/>
        <v>0</v>
      </c>
      <c r="M23" s="96" t="e">
        <f t="shared" ref="M23" si="18">L23/$E23</f>
        <v>#DIV/0!</v>
      </c>
      <c r="N23" s="35"/>
    </row>
    <row r="24" spans="1:14" x14ac:dyDescent="0.2">
      <c r="A24" s="79"/>
      <c r="B24" s="79"/>
      <c r="C24" s="29" t="s">
        <v>9</v>
      </c>
      <c r="D24" s="26" t="s">
        <v>42</v>
      </c>
      <c r="E24" s="34">
        <f>129+53</f>
        <v>182</v>
      </c>
      <c r="F24" s="30">
        <f>82+24</f>
        <v>106</v>
      </c>
      <c r="G24" s="96">
        <f t="shared" si="1"/>
        <v>0.58241758241758246</v>
      </c>
      <c r="H24" s="30"/>
      <c r="I24" s="96">
        <f t="shared" si="2"/>
        <v>0</v>
      </c>
      <c r="J24" s="30"/>
      <c r="K24" s="96">
        <f t="shared" si="2"/>
        <v>0</v>
      </c>
      <c r="L24" s="28">
        <f t="shared" si="0"/>
        <v>106</v>
      </c>
      <c r="M24" s="96">
        <f t="shared" ref="M24" si="19">L24/$E24</f>
        <v>0.58241758241758246</v>
      </c>
      <c r="N24" s="35"/>
    </row>
    <row r="25" spans="1:14" ht="18" customHeight="1" x14ac:dyDescent="0.2">
      <c r="A25" s="79"/>
      <c r="B25" s="79"/>
      <c r="C25" s="29" t="s">
        <v>22</v>
      </c>
      <c r="D25" s="29"/>
      <c r="E25" s="36">
        <f>SUM(E16:E24)</f>
        <v>1044</v>
      </c>
      <c r="F25" s="28">
        <f>SUM(F16:F24)</f>
        <v>217</v>
      </c>
      <c r="G25" s="96">
        <f t="shared" si="1"/>
        <v>0.2078544061302682</v>
      </c>
      <c r="H25" s="28">
        <f>SUM(H16:H24)</f>
        <v>146</v>
      </c>
      <c r="I25" s="96">
        <f t="shared" si="2"/>
        <v>0.13984674329501914</v>
      </c>
      <c r="J25" s="28">
        <f>SUM(J16:J24)</f>
        <v>15</v>
      </c>
      <c r="K25" s="96">
        <f t="shared" si="2"/>
        <v>1.4367816091954023E-2</v>
      </c>
      <c r="L25" s="28">
        <f>L24+L23+L22+L21+L20+L19+L18+L17+L16</f>
        <v>378</v>
      </c>
      <c r="M25" s="96">
        <f t="shared" ref="M25" si="20">L25/$E25</f>
        <v>0.36206896551724138</v>
      </c>
      <c r="N25" s="28">
        <f>SUM(N16:N24)</f>
        <v>0</v>
      </c>
    </row>
    <row r="26" spans="1:14" x14ac:dyDescent="0.2">
      <c r="A26" s="79"/>
      <c r="B26" s="79"/>
      <c r="C26" s="29" t="s">
        <v>10</v>
      </c>
      <c r="D26" s="26" t="s">
        <v>42</v>
      </c>
      <c r="E26" s="34">
        <v>34</v>
      </c>
      <c r="F26" s="30">
        <v>22</v>
      </c>
      <c r="G26" s="96">
        <f t="shared" si="1"/>
        <v>0.6470588235294118</v>
      </c>
      <c r="H26" s="30"/>
      <c r="I26" s="96">
        <f t="shared" si="2"/>
        <v>0</v>
      </c>
      <c r="J26" s="30"/>
      <c r="K26" s="96">
        <f t="shared" si="2"/>
        <v>0</v>
      </c>
      <c r="L26" s="28">
        <f>F26+H26+J26</f>
        <v>22</v>
      </c>
      <c r="M26" s="96">
        <f t="shared" ref="M26" si="21">L26/$E26</f>
        <v>0.6470588235294118</v>
      </c>
      <c r="N26" s="35"/>
    </row>
    <row r="27" spans="1:14" x14ac:dyDescent="0.2">
      <c r="A27" s="79"/>
      <c r="B27" s="79"/>
      <c r="C27" s="29" t="s">
        <v>11</v>
      </c>
      <c r="D27" s="26" t="s">
        <v>42</v>
      </c>
      <c r="E27" s="34">
        <f>26+21</f>
        <v>47</v>
      </c>
      <c r="F27" s="30">
        <f>20+9</f>
        <v>29</v>
      </c>
      <c r="G27" s="96">
        <f t="shared" si="1"/>
        <v>0.61702127659574468</v>
      </c>
      <c r="H27" s="30"/>
      <c r="I27" s="96">
        <f t="shared" si="2"/>
        <v>0</v>
      </c>
      <c r="J27" s="30"/>
      <c r="K27" s="96">
        <f t="shared" si="2"/>
        <v>0</v>
      </c>
      <c r="L27" s="28">
        <f>F27+H27+J27</f>
        <v>29</v>
      </c>
      <c r="M27" s="96">
        <f t="shared" ref="M27" si="22">L27/$E27</f>
        <v>0.61702127659574468</v>
      </c>
      <c r="N27" s="35"/>
    </row>
    <row r="28" spans="1:14" ht="17.25" customHeight="1" x14ac:dyDescent="0.2">
      <c r="A28" s="79"/>
      <c r="B28" s="79"/>
      <c r="C28" s="29" t="s">
        <v>23</v>
      </c>
      <c r="D28" s="29"/>
      <c r="E28" s="36">
        <f>SUM(E26:E27)</f>
        <v>81</v>
      </c>
      <c r="F28" s="27">
        <f>SUM(F26:F27)</f>
        <v>51</v>
      </c>
      <c r="G28" s="96">
        <f t="shared" si="1"/>
        <v>0.62962962962962965</v>
      </c>
      <c r="H28" s="27">
        <f>SUM(H26:H27)</f>
        <v>0</v>
      </c>
      <c r="I28" s="96">
        <f t="shared" si="2"/>
        <v>0</v>
      </c>
      <c r="J28" s="27">
        <f>SUM(J26:J27)</f>
        <v>0</v>
      </c>
      <c r="K28" s="96">
        <f t="shared" si="2"/>
        <v>0</v>
      </c>
      <c r="L28" s="28">
        <f>L26+L27</f>
        <v>51</v>
      </c>
      <c r="M28" s="96">
        <f t="shared" ref="M28" si="23">L28/$E28</f>
        <v>0.62962962962962965</v>
      </c>
      <c r="N28" s="27">
        <f>SUM(N26:N27)</f>
        <v>0</v>
      </c>
    </row>
    <row r="29" spans="1:14" x14ac:dyDescent="0.2">
      <c r="A29" s="80"/>
      <c r="B29" s="80"/>
      <c r="C29" s="26" t="s">
        <v>0</v>
      </c>
      <c r="D29" s="26"/>
      <c r="E29" s="36">
        <f>E15+E25+E28</f>
        <v>2343</v>
      </c>
      <c r="F29" s="27">
        <f>F15+F25+F28</f>
        <v>268</v>
      </c>
      <c r="G29" s="96">
        <f t="shared" si="1"/>
        <v>0.11438326931284677</v>
      </c>
      <c r="H29" s="27">
        <f>H15+H25+H28</f>
        <v>146</v>
      </c>
      <c r="I29" s="96">
        <f t="shared" si="2"/>
        <v>6.2313273580879215E-2</v>
      </c>
      <c r="J29" s="27">
        <f>J15+J25+J28</f>
        <v>15</v>
      </c>
      <c r="K29" s="96">
        <f t="shared" si="2"/>
        <v>6.4020486555697821E-3</v>
      </c>
      <c r="L29" s="28">
        <f>L15+L25+L28</f>
        <v>429</v>
      </c>
      <c r="M29" s="96">
        <f t="shared" ref="M29" si="24">L29/$E29</f>
        <v>0.18309859154929578</v>
      </c>
      <c r="N29" s="27">
        <f>N15+N25+N28</f>
        <v>0</v>
      </c>
    </row>
    <row r="30" spans="1:14" x14ac:dyDescent="0.2">
      <c r="A30" s="82"/>
      <c r="B30" s="82"/>
      <c r="C30" s="37"/>
      <c r="D30" s="37"/>
      <c r="E30" s="37"/>
      <c r="F30" s="38"/>
      <c r="G30" s="38"/>
      <c r="H30" s="38"/>
      <c r="I30" s="38"/>
      <c r="J30" s="38"/>
      <c r="K30" s="37"/>
      <c r="L30" s="37"/>
      <c r="M30" s="38"/>
      <c r="N30" s="38"/>
    </row>
    <row r="31" spans="1:14" s="39" customFormat="1" ht="32.25" customHeight="1" x14ac:dyDescent="0.2">
      <c r="A31" s="83"/>
      <c r="B31" s="109" t="s">
        <v>107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 s="39" customFormat="1" ht="15.75" customHeight="1" x14ac:dyDescent="0.2">
      <c r="A32" s="83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1:14" s="39" customFormat="1" ht="21" customHeight="1" x14ac:dyDescent="0.2">
      <c r="A33" s="83"/>
      <c r="B33" s="108" t="s">
        <v>71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</sheetData>
  <sheetProtection selectLockedCells="1" selectUnlockedCells="1"/>
  <protectedRanges>
    <protectedRange password="CF7A" sqref="G7:G30 I7:I30 K7:K30 M7:M30" name="Диапазон1"/>
  </protectedRanges>
  <autoFilter ref="A6:X29"/>
  <customSheetViews>
    <customSheetView guid="{F5FAE67C-CEE2-4A2A-9069-07B5744A8E99}" showAutoFilter="1">
      <pane ySplit="6" topLeftCell="A7" activePane="bottomLeft" state="frozen"/>
      <selection pane="bottomLeft" activeCell="I27" sqref="I27"/>
      <pageMargins left="0.25" right="0.25" top="0.75" bottom="0.75" header="0.3" footer="0.3"/>
      <pageSetup paperSize="9" orientation="landscape" r:id="rId1"/>
      <headerFooter alignWithMargins="0"/>
      <autoFilter ref="A6:X29"/>
    </customSheetView>
  </customSheetViews>
  <mergeCells count="11">
    <mergeCell ref="B33:N33"/>
    <mergeCell ref="A1:N1"/>
    <mergeCell ref="A2:N2"/>
    <mergeCell ref="D4:D5"/>
    <mergeCell ref="B31:N32"/>
    <mergeCell ref="F4:M4"/>
    <mergeCell ref="N4:N5"/>
    <mergeCell ref="A4:A5"/>
    <mergeCell ref="B4:B5"/>
    <mergeCell ref="C4:C5"/>
    <mergeCell ref="E4:E5"/>
  </mergeCells>
  <phoneticPr fontId="1" type="noConversion"/>
  <conditionalFormatting sqref="I7:I29 K7:K29 M7:M29 G7:G29">
    <cfRule type="cellIs" dxfId="2" priority="1" operator="greaterThan">
      <formula>1</formula>
    </cfRule>
  </conditionalFormatting>
  <pageMargins left="0.25" right="0.25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D25" sqref="AD25"/>
    </sheetView>
  </sheetViews>
  <sheetFormatPr defaultRowHeight="12.75" x14ac:dyDescent="0.2"/>
  <cols>
    <col min="1" max="1" width="3.5703125" style="5" customWidth="1"/>
    <col min="2" max="2" width="4.5703125" style="5" customWidth="1"/>
    <col min="3" max="3" width="8.140625" style="1" customWidth="1"/>
    <col min="4" max="4" width="8.5703125" style="1" customWidth="1"/>
    <col min="5" max="7" width="8.85546875" style="1" customWidth="1"/>
    <col min="8" max="8" width="9.140625" style="1"/>
    <col min="9" max="9" width="7.85546875" style="1" bestFit="1" customWidth="1"/>
    <col min="10" max="10" width="11.85546875" style="1" customWidth="1"/>
    <col min="11" max="11" width="10.85546875" style="1" customWidth="1"/>
    <col min="12" max="12" width="10.140625" style="1" customWidth="1"/>
    <col min="13" max="13" width="9.7109375" style="1" customWidth="1"/>
    <col min="14" max="15" width="9.42578125" style="1" customWidth="1"/>
    <col min="16" max="16" width="9.7109375" style="1" customWidth="1"/>
    <col min="17" max="17" width="6" style="1" customWidth="1"/>
    <col min="18" max="18" width="6.85546875" style="1" customWidth="1"/>
    <col min="19" max="19" width="5.85546875" style="1" customWidth="1"/>
    <col min="20" max="20" width="7" style="1" customWidth="1"/>
    <col min="21" max="21" width="5.85546875" style="1" customWidth="1"/>
    <col min="22" max="24" width="7.28515625" style="1" customWidth="1"/>
    <col min="25" max="25" width="5.140625" style="1" customWidth="1"/>
    <col min="26" max="28" width="9.140625" style="1"/>
    <col min="29" max="29" width="5.42578125" style="1" customWidth="1"/>
    <col min="30" max="30" width="9.140625" style="1"/>
    <col min="31" max="31" width="6" style="1" customWidth="1"/>
    <col min="32" max="32" width="9.140625" style="1"/>
    <col min="33" max="33" width="6.28515625" style="1" customWidth="1"/>
    <col min="34" max="34" width="9.140625" style="1"/>
    <col min="35" max="35" width="7.42578125" style="1" customWidth="1"/>
    <col min="36" max="36" width="7.85546875" style="1" bestFit="1" customWidth="1"/>
    <col min="37" max="37" width="6.42578125" style="1" customWidth="1"/>
    <col min="38" max="38" width="7.85546875" style="1" bestFit="1" customWidth="1"/>
    <col min="39" max="39" width="7.28515625" style="1" customWidth="1"/>
    <col min="40" max="40" width="9.140625" style="1"/>
    <col min="41" max="41" width="5.42578125" style="1" customWidth="1"/>
    <col min="42" max="42" width="9.140625" style="1"/>
    <col min="43" max="43" width="6" style="1" customWidth="1"/>
    <col min="44" max="44" width="9.140625" style="1"/>
    <col min="45" max="45" width="6.28515625" style="1" customWidth="1"/>
    <col min="46" max="16384" width="9.140625" style="1"/>
  </cols>
  <sheetData>
    <row r="1" spans="1:45" x14ac:dyDescent="0.2">
      <c r="C1" s="6" t="s">
        <v>28</v>
      </c>
      <c r="D1" s="6"/>
    </row>
    <row r="2" spans="1:45" ht="20.25" customHeight="1" x14ac:dyDescent="0.2">
      <c r="C2" s="125" t="s">
        <v>114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6"/>
      <c r="V2" s="126"/>
      <c r="W2" s="126"/>
      <c r="X2" s="126"/>
      <c r="Y2" s="126"/>
    </row>
    <row r="3" spans="1:45" ht="15.75" customHeight="1" x14ac:dyDescent="0.2">
      <c r="A3" s="133" t="s">
        <v>14</v>
      </c>
      <c r="B3" s="133" t="s">
        <v>24</v>
      </c>
      <c r="C3" s="127" t="s">
        <v>12</v>
      </c>
      <c r="D3" s="127" t="s">
        <v>81</v>
      </c>
      <c r="E3" s="127" t="s">
        <v>61</v>
      </c>
      <c r="F3" s="136" t="s">
        <v>82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0" t="s">
        <v>90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118" t="s">
        <v>92</v>
      </c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</row>
    <row r="4" spans="1:45" ht="28.5" customHeight="1" x14ac:dyDescent="0.2">
      <c r="A4" s="134"/>
      <c r="B4" s="134"/>
      <c r="C4" s="128"/>
      <c r="D4" s="128"/>
      <c r="E4" s="128"/>
      <c r="F4" s="117" t="s">
        <v>29</v>
      </c>
      <c r="G4" s="117"/>
      <c r="H4" s="117"/>
      <c r="I4" s="117"/>
      <c r="J4" s="117" t="s">
        <v>30</v>
      </c>
      <c r="K4" s="117"/>
      <c r="L4" s="117"/>
      <c r="M4" s="117"/>
      <c r="N4" s="117"/>
      <c r="O4" s="117"/>
      <c r="P4" s="117"/>
      <c r="Q4" s="117"/>
      <c r="R4" s="123" t="s">
        <v>83</v>
      </c>
      <c r="S4" s="123" t="s">
        <v>13</v>
      </c>
      <c r="T4" s="117" t="s">
        <v>86</v>
      </c>
      <c r="U4" s="117"/>
      <c r="V4" s="123" t="s">
        <v>77</v>
      </c>
      <c r="W4" s="123" t="s">
        <v>87</v>
      </c>
      <c r="X4" s="123" t="s">
        <v>74</v>
      </c>
      <c r="Y4" s="123" t="s">
        <v>13</v>
      </c>
      <c r="Z4" s="123" t="s">
        <v>88</v>
      </c>
      <c r="AA4" s="123" t="s">
        <v>89</v>
      </c>
      <c r="AB4" s="117" t="s">
        <v>98</v>
      </c>
      <c r="AC4" s="117"/>
      <c r="AD4" s="117"/>
      <c r="AE4" s="117"/>
      <c r="AF4" s="117"/>
      <c r="AG4" s="117"/>
      <c r="AH4" s="117" t="s">
        <v>93</v>
      </c>
      <c r="AI4" s="117"/>
      <c r="AJ4" s="117" t="s">
        <v>94</v>
      </c>
      <c r="AK4" s="117"/>
      <c r="AL4" s="117" t="s">
        <v>95</v>
      </c>
      <c r="AM4" s="117"/>
      <c r="AN4" s="117" t="s">
        <v>98</v>
      </c>
      <c r="AO4" s="117"/>
      <c r="AP4" s="117"/>
      <c r="AQ4" s="117"/>
      <c r="AR4" s="117"/>
      <c r="AS4" s="117"/>
    </row>
    <row r="5" spans="1:45" ht="117.75" customHeight="1" x14ac:dyDescent="0.2">
      <c r="A5" s="135"/>
      <c r="B5" s="135"/>
      <c r="C5" s="129"/>
      <c r="D5" s="129"/>
      <c r="E5" s="129"/>
      <c r="F5" s="2" t="s">
        <v>84</v>
      </c>
      <c r="G5" s="2" t="s">
        <v>85</v>
      </c>
      <c r="H5" s="2" t="s">
        <v>41</v>
      </c>
      <c r="I5" s="2" t="s">
        <v>13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72</v>
      </c>
      <c r="P5" s="2" t="s">
        <v>37</v>
      </c>
      <c r="Q5" s="2" t="s">
        <v>13</v>
      </c>
      <c r="R5" s="124"/>
      <c r="S5" s="124"/>
      <c r="T5" s="2" t="s">
        <v>52</v>
      </c>
      <c r="U5" s="2" t="s">
        <v>53</v>
      </c>
      <c r="V5" s="124"/>
      <c r="W5" s="124"/>
      <c r="X5" s="124"/>
      <c r="Y5" s="124"/>
      <c r="Z5" s="124"/>
      <c r="AA5" s="124"/>
      <c r="AB5" s="2" t="s">
        <v>75</v>
      </c>
      <c r="AC5" s="2" t="s">
        <v>13</v>
      </c>
      <c r="AD5" s="2" t="s">
        <v>76</v>
      </c>
      <c r="AE5" s="2" t="s">
        <v>13</v>
      </c>
      <c r="AF5" s="2" t="s">
        <v>96</v>
      </c>
      <c r="AG5" s="2" t="s">
        <v>13</v>
      </c>
      <c r="AH5" s="16" t="s">
        <v>99</v>
      </c>
      <c r="AI5" s="43" t="s">
        <v>100</v>
      </c>
      <c r="AJ5" s="16" t="s">
        <v>91</v>
      </c>
      <c r="AK5" s="43" t="s">
        <v>100</v>
      </c>
      <c r="AL5" s="16" t="s">
        <v>97</v>
      </c>
      <c r="AM5" s="43" t="s">
        <v>100</v>
      </c>
      <c r="AN5" s="2" t="s">
        <v>75</v>
      </c>
      <c r="AO5" s="2" t="s">
        <v>13</v>
      </c>
      <c r="AP5" s="2" t="s">
        <v>76</v>
      </c>
      <c r="AQ5" s="2" t="s">
        <v>13</v>
      </c>
      <c r="AR5" s="2" t="s">
        <v>96</v>
      </c>
      <c r="AS5" s="2" t="s">
        <v>13</v>
      </c>
    </row>
    <row r="6" spans="1:45" ht="12" customHeight="1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  <c r="U6" s="59">
        <v>21</v>
      </c>
      <c r="V6" s="59">
        <v>22</v>
      </c>
      <c r="W6" s="59">
        <v>23</v>
      </c>
      <c r="X6" s="59">
        <v>24</v>
      </c>
      <c r="Y6" s="59">
        <v>25</v>
      </c>
      <c r="Z6" s="59">
        <v>26</v>
      </c>
      <c r="AA6" s="59">
        <v>27</v>
      </c>
      <c r="AB6" s="59">
        <v>28</v>
      </c>
      <c r="AC6" s="59">
        <v>29</v>
      </c>
      <c r="AD6" s="59">
        <v>30</v>
      </c>
      <c r="AE6" s="59">
        <v>31</v>
      </c>
      <c r="AF6" s="59">
        <v>32</v>
      </c>
      <c r="AG6" s="59">
        <v>33</v>
      </c>
      <c r="AH6" s="59">
        <v>34</v>
      </c>
      <c r="AI6" s="59">
        <v>35</v>
      </c>
      <c r="AJ6" s="59">
        <v>36</v>
      </c>
      <c r="AK6" s="59">
        <v>37</v>
      </c>
      <c r="AL6" s="59">
        <v>38</v>
      </c>
      <c r="AM6" s="59">
        <v>39</v>
      </c>
      <c r="AN6" s="59">
        <v>40</v>
      </c>
      <c r="AO6" s="59">
        <v>41</v>
      </c>
      <c r="AP6" s="59">
        <v>42</v>
      </c>
      <c r="AQ6" s="59">
        <v>43</v>
      </c>
      <c r="AR6" s="59">
        <v>44</v>
      </c>
      <c r="AS6" s="59">
        <v>45</v>
      </c>
    </row>
    <row r="7" spans="1:45" ht="25.5" x14ac:dyDescent="0.2">
      <c r="A7" s="73" t="str">
        <f>'1. охват орг. питанием'!A7</f>
        <v>К</v>
      </c>
      <c r="B7" s="73" t="str">
        <f>'1. охват орг. питанием'!B7</f>
        <v>СинТез</v>
      </c>
      <c r="C7" s="17" t="s">
        <v>1</v>
      </c>
      <c r="D7" s="17" t="s">
        <v>42</v>
      </c>
      <c r="E7" s="4">
        <f>253+82</f>
        <v>335</v>
      </c>
      <c r="F7" s="4">
        <f>5+7</f>
        <v>12</v>
      </c>
      <c r="G7" s="4">
        <f>11+2</f>
        <v>13</v>
      </c>
      <c r="H7" s="8">
        <f>F7+G7</f>
        <v>25</v>
      </c>
      <c r="I7" s="97">
        <f>H7/$E7</f>
        <v>7.4626865671641784E-2</v>
      </c>
      <c r="J7" s="4"/>
      <c r="K7" s="4"/>
      <c r="L7" s="4"/>
      <c r="M7" s="4"/>
      <c r="N7" s="4">
        <f>5+7</f>
        <v>12</v>
      </c>
      <c r="O7" s="4"/>
      <c r="P7" s="8">
        <f>SUM(J7:O7)</f>
        <v>12</v>
      </c>
      <c r="Q7" s="97">
        <f>P7/$E7</f>
        <v>3.5820895522388062E-2</v>
      </c>
      <c r="R7" s="8">
        <f t="shared" ref="R7:R29" si="0">H7+P7</f>
        <v>37</v>
      </c>
      <c r="S7" s="97">
        <f>R7/$E7</f>
        <v>0.11044776119402985</v>
      </c>
      <c r="T7" s="4">
        <v>37</v>
      </c>
      <c r="U7" s="4"/>
      <c r="V7" s="4"/>
      <c r="W7" s="4">
        <f>3+1</f>
        <v>4</v>
      </c>
      <c r="X7" s="4">
        <f>3+1</f>
        <v>4</v>
      </c>
      <c r="Y7" s="97">
        <f>X7/$E7</f>
        <v>1.1940298507462687E-2</v>
      </c>
      <c r="Z7" s="53">
        <v>4</v>
      </c>
      <c r="AA7" s="53"/>
      <c r="AB7" s="4">
        <v>4</v>
      </c>
      <c r="AC7" s="97">
        <f>AB7/$E7</f>
        <v>1.1940298507462687E-2</v>
      </c>
      <c r="AD7" s="4"/>
      <c r="AE7" s="97">
        <f>AD7/$E7</f>
        <v>0</v>
      </c>
      <c r="AF7" s="4"/>
      <c r="AG7" s="97">
        <f>AF7/$E7</f>
        <v>0</v>
      </c>
      <c r="AH7" s="4"/>
      <c r="AI7" s="4"/>
      <c r="AJ7" s="4"/>
      <c r="AK7" s="4"/>
      <c r="AL7" s="4"/>
      <c r="AM7" s="4"/>
      <c r="AN7" s="4"/>
      <c r="AO7" s="97">
        <f>AN7/$E7</f>
        <v>0</v>
      </c>
      <c r="AP7" s="4"/>
      <c r="AQ7" s="97">
        <f>AP7/$E7</f>
        <v>0</v>
      </c>
      <c r="AR7" s="4"/>
      <c r="AS7" s="97">
        <f>AR7/$E7</f>
        <v>0</v>
      </c>
    </row>
    <row r="8" spans="1:45" x14ac:dyDescent="0.2">
      <c r="A8" s="74"/>
      <c r="B8" s="74"/>
      <c r="C8" s="17"/>
      <c r="D8" s="17" t="s">
        <v>43</v>
      </c>
      <c r="E8" s="4"/>
      <c r="F8" s="4"/>
      <c r="G8" s="4"/>
      <c r="H8" s="8">
        <f t="shared" ref="H8:H15" si="1">F8+G8</f>
        <v>0</v>
      </c>
      <c r="I8" s="97" t="e">
        <f t="shared" ref="I8:I29" si="2">H8/$E8</f>
        <v>#DIV/0!</v>
      </c>
      <c r="J8" s="4"/>
      <c r="K8" s="4"/>
      <c r="L8" s="4"/>
      <c r="M8" s="4"/>
      <c r="N8" s="4"/>
      <c r="O8" s="4"/>
      <c r="P8" s="8">
        <f t="shared" ref="P8:P27" si="3">SUM(J8:O8)</f>
        <v>0</v>
      </c>
      <c r="Q8" s="97" t="e">
        <f t="shared" ref="Q8:Q29" si="4">P8/$E8</f>
        <v>#DIV/0!</v>
      </c>
      <c r="R8" s="8">
        <f t="shared" si="0"/>
        <v>0</v>
      </c>
      <c r="S8" s="97" t="e">
        <f t="shared" ref="S8:S29" si="5">R8/$E8</f>
        <v>#DIV/0!</v>
      </c>
      <c r="T8" s="4"/>
      <c r="U8" s="4"/>
      <c r="V8" s="4"/>
      <c r="W8" s="4"/>
      <c r="X8" s="4"/>
      <c r="Y8" s="97" t="e">
        <f t="shared" ref="Y8:Y29" si="6">X8/$E8</f>
        <v>#DIV/0!</v>
      </c>
      <c r="Z8" s="53"/>
      <c r="AA8" s="53"/>
      <c r="AB8" s="4"/>
      <c r="AC8" s="97" t="e">
        <f t="shared" ref="AC8:AC29" si="7">AB8/$E8</f>
        <v>#DIV/0!</v>
      </c>
      <c r="AD8" s="4"/>
      <c r="AE8" s="97" t="e">
        <f t="shared" ref="AE8:AE29" si="8">AD8/$E8</f>
        <v>#DIV/0!</v>
      </c>
      <c r="AF8" s="4"/>
      <c r="AG8" s="97" t="e">
        <f t="shared" ref="AG8:AG29" si="9">AF8/$E8</f>
        <v>#DIV/0!</v>
      </c>
      <c r="AH8" s="4"/>
      <c r="AI8" s="4"/>
      <c r="AJ8" s="4"/>
      <c r="AK8" s="4"/>
      <c r="AL8" s="4"/>
      <c r="AM8" s="4"/>
      <c r="AN8" s="4"/>
      <c r="AO8" s="97" t="e">
        <f t="shared" ref="AO8:AO29" si="10">AN8/$E8</f>
        <v>#DIV/0!</v>
      </c>
      <c r="AP8" s="4"/>
      <c r="AQ8" s="97" t="e">
        <f t="shared" ref="AQ8:AQ29" si="11">AP8/$E8</f>
        <v>#DIV/0!</v>
      </c>
      <c r="AR8" s="4"/>
      <c r="AS8" s="97" t="e">
        <f t="shared" ref="AS8:AS29" si="12">AR8/$E8</f>
        <v>#DIV/0!</v>
      </c>
    </row>
    <row r="9" spans="1:45" x14ac:dyDescent="0.2">
      <c r="A9" s="75"/>
      <c r="B9" s="75"/>
      <c r="C9" s="17" t="s">
        <v>2</v>
      </c>
      <c r="D9" s="17" t="s">
        <v>42</v>
      </c>
      <c r="E9" s="4">
        <v>29</v>
      </c>
      <c r="F9" s="4">
        <v>1</v>
      </c>
      <c r="G9" s="4"/>
      <c r="H9" s="8">
        <f t="shared" si="1"/>
        <v>1</v>
      </c>
      <c r="I9" s="97">
        <f t="shared" si="2"/>
        <v>3.4482758620689655E-2</v>
      </c>
      <c r="J9" s="4"/>
      <c r="K9" s="4"/>
      <c r="L9" s="4"/>
      <c r="M9" s="4"/>
      <c r="N9" s="4">
        <v>3</v>
      </c>
      <c r="O9" s="4"/>
      <c r="P9" s="8">
        <f t="shared" si="3"/>
        <v>3</v>
      </c>
      <c r="Q9" s="97">
        <f t="shared" si="4"/>
        <v>0.10344827586206896</v>
      </c>
      <c r="R9" s="8">
        <f t="shared" si="0"/>
        <v>4</v>
      </c>
      <c r="S9" s="97">
        <f t="shared" si="5"/>
        <v>0.13793103448275862</v>
      </c>
      <c r="T9" s="4">
        <v>4</v>
      </c>
      <c r="U9" s="4"/>
      <c r="V9" s="4"/>
      <c r="W9" s="4"/>
      <c r="X9" s="4"/>
      <c r="Y9" s="97">
        <f t="shared" si="6"/>
        <v>0</v>
      </c>
      <c r="Z9" s="53"/>
      <c r="AA9" s="53"/>
      <c r="AB9" s="4"/>
      <c r="AC9" s="97">
        <f t="shared" si="7"/>
        <v>0</v>
      </c>
      <c r="AD9" s="4"/>
      <c r="AE9" s="97">
        <f t="shared" si="8"/>
        <v>0</v>
      </c>
      <c r="AF9" s="4"/>
      <c r="AG9" s="97">
        <f t="shared" si="9"/>
        <v>0</v>
      </c>
      <c r="AH9" s="4"/>
      <c r="AI9" s="4"/>
      <c r="AJ9" s="4"/>
      <c r="AK9" s="4"/>
      <c r="AL9" s="4"/>
      <c r="AM9" s="4"/>
      <c r="AN9" s="4"/>
      <c r="AO9" s="97">
        <f t="shared" si="10"/>
        <v>0</v>
      </c>
      <c r="AP9" s="4"/>
      <c r="AQ9" s="97">
        <f t="shared" si="11"/>
        <v>0</v>
      </c>
      <c r="AR9" s="4"/>
      <c r="AS9" s="97">
        <f t="shared" si="12"/>
        <v>0</v>
      </c>
    </row>
    <row r="10" spans="1:45" x14ac:dyDescent="0.2">
      <c r="A10" s="75"/>
      <c r="B10" s="75"/>
      <c r="C10" s="17"/>
      <c r="D10" s="17" t="s">
        <v>43</v>
      </c>
      <c r="E10" s="4">
        <f>212+70</f>
        <v>282</v>
      </c>
      <c r="F10" s="4">
        <f>10+4</f>
        <v>14</v>
      </c>
      <c r="G10" s="4">
        <f>9+3</f>
        <v>12</v>
      </c>
      <c r="H10" s="8">
        <f t="shared" si="1"/>
        <v>26</v>
      </c>
      <c r="I10" s="97">
        <f t="shared" si="2"/>
        <v>9.2198581560283682E-2</v>
      </c>
      <c r="J10" s="4"/>
      <c r="K10" s="4"/>
      <c r="L10" s="4">
        <v>1</v>
      </c>
      <c r="M10" s="4">
        <v>1</v>
      </c>
      <c r="N10" s="4">
        <f>9+12</f>
        <v>21</v>
      </c>
      <c r="O10" s="4"/>
      <c r="P10" s="8">
        <f t="shared" si="3"/>
        <v>23</v>
      </c>
      <c r="Q10" s="97">
        <f t="shared" si="4"/>
        <v>8.1560283687943269E-2</v>
      </c>
      <c r="R10" s="8">
        <f t="shared" si="0"/>
        <v>49</v>
      </c>
      <c r="S10" s="97">
        <f t="shared" si="5"/>
        <v>0.17375886524822695</v>
      </c>
      <c r="T10" s="4"/>
      <c r="U10" s="4">
        <v>49</v>
      </c>
      <c r="V10" s="4"/>
      <c r="W10" s="4">
        <v>1</v>
      </c>
      <c r="X10" s="4">
        <v>1</v>
      </c>
      <c r="Y10" s="97">
        <f t="shared" si="6"/>
        <v>3.5460992907801418E-3</v>
      </c>
      <c r="Z10" s="53">
        <v>1</v>
      </c>
      <c r="AA10" s="53"/>
      <c r="AB10" s="4">
        <v>1</v>
      </c>
      <c r="AC10" s="97">
        <f t="shared" si="7"/>
        <v>3.5460992907801418E-3</v>
      </c>
      <c r="AD10" s="4"/>
      <c r="AE10" s="97">
        <f t="shared" si="8"/>
        <v>0</v>
      </c>
      <c r="AF10" s="4"/>
      <c r="AG10" s="97">
        <f t="shared" si="9"/>
        <v>0</v>
      </c>
      <c r="AH10" s="4"/>
      <c r="AI10" s="4"/>
      <c r="AJ10" s="4"/>
      <c r="AK10" s="4"/>
      <c r="AL10" s="4"/>
      <c r="AM10" s="4"/>
      <c r="AN10" s="4"/>
      <c r="AO10" s="97">
        <f t="shared" si="10"/>
        <v>0</v>
      </c>
      <c r="AP10" s="4"/>
      <c r="AQ10" s="97">
        <f t="shared" si="11"/>
        <v>0</v>
      </c>
      <c r="AR10" s="4"/>
      <c r="AS10" s="97">
        <f t="shared" si="12"/>
        <v>0</v>
      </c>
    </row>
    <row r="11" spans="1:45" x14ac:dyDescent="0.2">
      <c r="A11" s="75"/>
      <c r="B11" s="75"/>
      <c r="C11" s="17" t="s">
        <v>3</v>
      </c>
      <c r="D11" s="17" t="s">
        <v>42</v>
      </c>
      <c r="E11" s="4">
        <v>33</v>
      </c>
      <c r="F11" s="4">
        <v>1</v>
      </c>
      <c r="G11" s="4">
        <v>3</v>
      </c>
      <c r="H11" s="8">
        <f t="shared" si="1"/>
        <v>4</v>
      </c>
      <c r="I11" s="97">
        <f t="shared" si="2"/>
        <v>0.12121212121212122</v>
      </c>
      <c r="J11" s="4"/>
      <c r="K11" s="4"/>
      <c r="L11" s="4"/>
      <c r="M11" s="4">
        <v>1</v>
      </c>
      <c r="N11" s="4"/>
      <c r="O11" s="4"/>
      <c r="P11" s="8">
        <f t="shared" si="3"/>
        <v>1</v>
      </c>
      <c r="Q11" s="97">
        <f t="shared" si="4"/>
        <v>3.0303030303030304E-2</v>
      </c>
      <c r="R11" s="8">
        <f t="shared" si="0"/>
        <v>5</v>
      </c>
      <c r="S11" s="97">
        <f t="shared" si="5"/>
        <v>0.15151515151515152</v>
      </c>
      <c r="T11" s="4">
        <v>5</v>
      </c>
      <c r="U11" s="4"/>
      <c r="V11" s="4"/>
      <c r="W11" s="4"/>
      <c r="X11" s="4"/>
      <c r="Y11" s="97">
        <f t="shared" si="6"/>
        <v>0</v>
      </c>
      <c r="Z11" s="53"/>
      <c r="AA11" s="53"/>
      <c r="AB11" s="4"/>
      <c r="AC11" s="97">
        <f t="shared" si="7"/>
        <v>0</v>
      </c>
      <c r="AD11" s="4"/>
      <c r="AE11" s="97">
        <f t="shared" si="8"/>
        <v>0</v>
      </c>
      <c r="AF11" s="4"/>
      <c r="AG11" s="97">
        <f t="shared" si="9"/>
        <v>0</v>
      </c>
      <c r="AH11" s="4"/>
      <c r="AI11" s="4"/>
      <c r="AJ11" s="4"/>
      <c r="AK11" s="4"/>
      <c r="AL11" s="4"/>
      <c r="AM11" s="4"/>
      <c r="AN11" s="4"/>
      <c r="AO11" s="97">
        <f t="shared" si="10"/>
        <v>0</v>
      </c>
      <c r="AP11" s="4"/>
      <c r="AQ11" s="97">
        <f t="shared" si="11"/>
        <v>0</v>
      </c>
      <c r="AR11" s="4"/>
      <c r="AS11" s="97">
        <f t="shared" si="12"/>
        <v>0</v>
      </c>
    </row>
    <row r="12" spans="1:45" x14ac:dyDescent="0.2">
      <c r="A12" s="75"/>
      <c r="B12" s="75"/>
      <c r="C12" s="17"/>
      <c r="D12" s="17" t="s">
        <v>43</v>
      </c>
      <c r="E12" s="4">
        <f>187+81</f>
        <v>268</v>
      </c>
      <c r="F12" s="4">
        <f>7+9</f>
        <v>16</v>
      </c>
      <c r="G12" s="4">
        <f>12+4</f>
        <v>16</v>
      </c>
      <c r="H12" s="8">
        <f t="shared" si="1"/>
        <v>32</v>
      </c>
      <c r="I12" s="97">
        <f t="shared" si="2"/>
        <v>0.11940298507462686</v>
      </c>
      <c r="J12" s="4"/>
      <c r="K12" s="4"/>
      <c r="L12" s="4">
        <v>1</v>
      </c>
      <c r="M12" s="4"/>
      <c r="N12" s="4">
        <f>1+17</f>
        <v>18</v>
      </c>
      <c r="O12" s="4"/>
      <c r="P12" s="8">
        <f t="shared" si="3"/>
        <v>19</v>
      </c>
      <c r="Q12" s="97">
        <f t="shared" si="4"/>
        <v>7.0895522388059698E-2</v>
      </c>
      <c r="R12" s="8">
        <f t="shared" si="0"/>
        <v>51</v>
      </c>
      <c r="S12" s="97">
        <f t="shared" si="5"/>
        <v>0.19029850746268656</v>
      </c>
      <c r="T12" s="4"/>
      <c r="U12" s="4">
        <v>51</v>
      </c>
      <c r="V12" s="4"/>
      <c r="W12" s="4">
        <f>3+1</f>
        <v>4</v>
      </c>
      <c r="X12" s="4">
        <f>3+1</f>
        <v>4</v>
      </c>
      <c r="Y12" s="97">
        <f t="shared" si="6"/>
        <v>1.4925373134328358E-2</v>
      </c>
      <c r="Z12" s="53">
        <v>4</v>
      </c>
      <c r="AA12" s="53"/>
      <c r="AB12" s="4">
        <v>4</v>
      </c>
      <c r="AC12" s="97">
        <f t="shared" si="7"/>
        <v>1.4925373134328358E-2</v>
      </c>
      <c r="AD12" s="4"/>
      <c r="AE12" s="97">
        <f t="shared" si="8"/>
        <v>0</v>
      </c>
      <c r="AF12" s="4"/>
      <c r="AG12" s="97">
        <f t="shared" si="9"/>
        <v>0</v>
      </c>
      <c r="AH12" s="4"/>
      <c r="AI12" s="4"/>
      <c r="AJ12" s="4"/>
      <c r="AK12" s="4"/>
      <c r="AL12" s="4"/>
      <c r="AM12" s="4"/>
      <c r="AN12" s="4"/>
      <c r="AO12" s="97">
        <f t="shared" si="10"/>
        <v>0</v>
      </c>
      <c r="AP12" s="4"/>
      <c r="AQ12" s="97">
        <f t="shared" si="11"/>
        <v>0</v>
      </c>
      <c r="AR12" s="4"/>
      <c r="AS12" s="97">
        <f t="shared" si="12"/>
        <v>0</v>
      </c>
    </row>
    <row r="13" spans="1:45" x14ac:dyDescent="0.2">
      <c r="A13" s="75"/>
      <c r="B13" s="75"/>
      <c r="C13" s="17" t="s">
        <v>4</v>
      </c>
      <c r="D13" s="17" t="s">
        <v>42</v>
      </c>
      <c r="E13" s="4">
        <f>147+60</f>
        <v>207</v>
      </c>
      <c r="F13" s="4">
        <f>3+5</f>
        <v>8</v>
      </c>
      <c r="G13" s="4">
        <f>7+1</f>
        <v>8</v>
      </c>
      <c r="H13" s="8">
        <f t="shared" si="1"/>
        <v>16</v>
      </c>
      <c r="I13" s="97">
        <f t="shared" si="2"/>
        <v>7.7294685990338161E-2</v>
      </c>
      <c r="J13" s="4"/>
      <c r="K13" s="4">
        <v>1</v>
      </c>
      <c r="L13" s="4"/>
      <c r="M13" s="4"/>
      <c r="N13" s="4">
        <f>8+9</f>
        <v>17</v>
      </c>
      <c r="O13" s="4"/>
      <c r="P13" s="8">
        <f t="shared" si="3"/>
        <v>18</v>
      </c>
      <c r="Q13" s="97">
        <f t="shared" si="4"/>
        <v>8.6956521739130432E-2</v>
      </c>
      <c r="R13" s="8">
        <f t="shared" si="0"/>
        <v>34</v>
      </c>
      <c r="S13" s="97">
        <f t="shared" si="5"/>
        <v>0.16425120772946861</v>
      </c>
      <c r="T13" s="4">
        <v>34</v>
      </c>
      <c r="U13" s="4"/>
      <c r="V13" s="4"/>
      <c r="W13" s="4">
        <f>3+3</f>
        <v>6</v>
      </c>
      <c r="X13" s="4">
        <f>3+3</f>
        <v>6</v>
      </c>
      <c r="Y13" s="97">
        <f t="shared" si="6"/>
        <v>2.8985507246376812E-2</v>
      </c>
      <c r="Z13" s="53">
        <v>6</v>
      </c>
      <c r="AA13" s="53"/>
      <c r="AB13" s="4">
        <v>6</v>
      </c>
      <c r="AC13" s="97">
        <f t="shared" si="7"/>
        <v>2.8985507246376812E-2</v>
      </c>
      <c r="AD13" s="4"/>
      <c r="AE13" s="97">
        <f t="shared" si="8"/>
        <v>0</v>
      </c>
      <c r="AF13" s="4"/>
      <c r="AG13" s="97">
        <f t="shared" si="9"/>
        <v>0</v>
      </c>
      <c r="AH13" s="4"/>
      <c r="AI13" s="4"/>
      <c r="AJ13" s="4"/>
      <c r="AK13" s="4"/>
      <c r="AL13" s="4"/>
      <c r="AM13" s="4"/>
      <c r="AN13" s="4"/>
      <c r="AO13" s="97">
        <f t="shared" si="10"/>
        <v>0</v>
      </c>
      <c r="AP13" s="4"/>
      <c r="AQ13" s="97">
        <f t="shared" si="11"/>
        <v>0</v>
      </c>
      <c r="AR13" s="4"/>
      <c r="AS13" s="97">
        <f t="shared" si="12"/>
        <v>0</v>
      </c>
    </row>
    <row r="14" spans="1:45" x14ac:dyDescent="0.2">
      <c r="A14" s="75"/>
      <c r="B14" s="75"/>
      <c r="C14" s="17"/>
      <c r="D14" s="17" t="s">
        <v>43</v>
      </c>
      <c r="E14" s="4">
        <v>64</v>
      </c>
      <c r="F14" s="4">
        <v>2</v>
      </c>
      <c r="G14" s="4">
        <v>5</v>
      </c>
      <c r="H14" s="8">
        <f t="shared" si="1"/>
        <v>7</v>
      </c>
      <c r="I14" s="97">
        <f t="shared" si="2"/>
        <v>0.109375</v>
      </c>
      <c r="J14" s="4"/>
      <c r="K14" s="4"/>
      <c r="L14" s="4"/>
      <c r="M14" s="4"/>
      <c r="N14" s="4">
        <v>1</v>
      </c>
      <c r="O14" s="4"/>
      <c r="P14" s="8">
        <f t="shared" si="3"/>
        <v>1</v>
      </c>
      <c r="Q14" s="97">
        <f t="shared" si="4"/>
        <v>1.5625E-2</v>
      </c>
      <c r="R14" s="8">
        <f t="shared" si="0"/>
        <v>8</v>
      </c>
      <c r="S14" s="97">
        <f t="shared" si="5"/>
        <v>0.125</v>
      </c>
      <c r="T14" s="4"/>
      <c r="U14" s="4">
        <v>8</v>
      </c>
      <c r="V14" s="4"/>
      <c r="W14" s="4">
        <v>3</v>
      </c>
      <c r="X14" s="4">
        <v>3</v>
      </c>
      <c r="Y14" s="97">
        <f t="shared" si="6"/>
        <v>4.6875E-2</v>
      </c>
      <c r="Z14" s="53">
        <v>3</v>
      </c>
      <c r="AA14" s="53"/>
      <c r="AB14" s="4">
        <v>3</v>
      </c>
      <c r="AC14" s="97">
        <f t="shared" si="7"/>
        <v>4.6875E-2</v>
      </c>
      <c r="AD14" s="4"/>
      <c r="AE14" s="97">
        <f t="shared" si="8"/>
        <v>0</v>
      </c>
      <c r="AF14" s="4"/>
      <c r="AG14" s="97">
        <f t="shared" si="9"/>
        <v>0</v>
      </c>
      <c r="AH14" s="4"/>
      <c r="AI14" s="4"/>
      <c r="AJ14" s="4"/>
      <c r="AK14" s="4"/>
      <c r="AL14" s="4"/>
      <c r="AM14" s="4"/>
      <c r="AN14" s="4"/>
      <c r="AO14" s="97">
        <f t="shared" si="10"/>
        <v>0</v>
      </c>
      <c r="AP14" s="4"/>
      <c r="AQ14" s="97">
        <f t="shared" si="11"/>
        <v>0</v>
      </c>
      <c r="AR14" s="4"/>
      <c r="AS14" s="97">
        <f t="shared" si="12"/>
        <v>0</v>
      </c>
    </row>
    <row r="15" spans="1:45" x14ac:dyDescent="0.2">
      <c r="A15" s="75"/>
      <c r="B15" s="75"/>
      <c r="C15" s="17" t="s">
        <v>21</v>
      </c>
      <c r="D15" s="17"/>
      <c r="E15" s="8">
        <f>SUM(E7:E14)</f>
        <v>1218</v>
      </c>
      <c r="F15" s="8">
        <f>SUM(F7:F14)</f>
        <v>54</v>
      </c>
      <c r="G15" s="8">
        <f>SUM(G7:G14)</f>
        <v>57</v>
      </c>
      <c r="H15" s="8">
        <f t="shared" si="1"/>
        <v>111</v>
      </c>
      <c r="I15" s="97">
        <f t="shared" si="2"/>
        <v>9.1133004926108374E-2</v>
      </c>
      <c r="J15" s="8">
        <f t="shared" ref="J15:P15" si="13">SUM(J7:J14)</f>
        <v>0</v>
      </c>
      <c r="K15" s="8">
        <f t="shared" si="13"/>
        <v>1</v>
      </c>
      <c r="L15" s="8">
        <f t="shared" si="13"/>
        <v>2</v>
      </c>
      <c r="M15" s="8">
        <f t="shared" si="13"/>
        <v>2</v>
      </c>
      <c r="N15" s="8">
        <f t="shared" si="13"/>
        <v>72</v>
      </c>
      <c r="O15" s="8">
        <f t="shared" si="13"/>
        <v>0</v>
      </c>
      <c r="P15" s="8">
        <f t="shared" si="13"/>
        <v>77</v>
      </c>
      <c r="Q15" s="97">
        <f t="shared" si="4"/>
        <v>6.3218390804597707E-2</v>
      </c>
      <c r="R15" s="8">
        <f t="shared" si="0"/>
        <v>188</v>
      </c>
      <c r="S15" s="97">
        <f t="shared" si="5"/>
        <v>0.15435139573070608</v>
      </c>
      <c r="T15" s="8">
        <f>SUM(T7:T14)</f>
        <v>80</v>
      </c>
      <c r="U15" s="8">
        <f>SUM(U7:U14)</f>
        <v>108</v>
      </c>
      <c r="V15" s="10">
        <f>SUM(V7:V14)</f>
        <v>0</v>
      </c>
      <c r="W15" s="10">
        <f>SUM(W7:W14)</f>
        <v>18</v>
      </c>
      <c r="X15" s="10">
        <f>SUM(X7:X14)</f>
        <v>18</v>
      </c>
      <c r="Y15" s="97">
        <f t="shared" si="6"/>
        <v>1.4778325123152709E-2</v>
      </c>
      <c r="Z15" s="9">
        <f>SUM(Z7:Z14)</f>
        <v>18</v>
      </c>
      <c r="AA15" s="9">
        <f>SUM(AA7:AA14)</f>
        <v>0</v>
      </c>
      <c r="AB15" s="8">
        <f>SUM(AB7:AB14)</f>
        <v>18</v>
      </c>
      <c r="AC15" s="97">
        <f t="shared" si="7"/>
        <v>1.4778325123152709E-2</v>
      </c>
      <c r="AD15" s="8">
        <f>SUM(AD7:AD14)</f>
        <v>0</v>
      </c>
      <c r="AE15" s="97">
        <f t="shared" si="8"/>
        <v>0</v>
      </c>
      <c r="AF15" s="8">
        <f>SUM(AF7:AF14)</f>
        <v>0</v>
      </c>
      <c r="AG15" s="97">
        <f t="shared" si="9"/>
        <v>0</v>
      </c>
      <c r="AH15" s="8" t="e">
        <f>AVERAGE(AH7:AH14)</f>
        <v>#DIV/0!</v>
      </c>
      <c r="AI15" s="8">
        <f>SUM(AI7:AI14)</f>
        <v>0</v>
      </c>
      <c r="AJ15" s="8" t="e">
        <f>AVERAGE(AJ7:AJ14)</f>
        <v>#DIV/0!</v>
      </c>
      <c r="AK15" s="8">
        <f>SUM(AK7:AK14)</f>
        <v>0</v>
      </c>
      <c r="AL15" s="8" t="e">
        <f>AVERAGE(AL7:AL14)</f>
        <v>#DIV/0!</v>
      </c>
      <c r="AM15" s="8">
        <f>SUM(AM7:AM14)</f>
        <v>0</v>
      </c>
      <c r="AN15" s="8">
        <f>SUM(AN7:AN14)</f>
        <v>0</v>
      </c>
      <c r="AO15" s="97">
        <f t="shared" si="10"/>
        <v>0</v>
      </c>
      <c r="AP15" s="8">
        <f>SUM(AP7:AP14)</f>
        <v>0</v>
      </c>
      <c r="AQ15" s="97">
        <f t="shared" si="11"/>
        <v>0</v>
      </c>
      <c r="AR15" s="8">
        <f>SUM(AR7:AR14)</f>
        <v>0</v>
      </c>
      <c r="AS15" s="97">
        <f t="shared" si="12"/>
        <v>0</v>
      </c>
    </row>
    <row r="16" spans="1:45" x14ac:dyDescent="0.2">
      <c r="A16" s="75"/>
      <c r="B16" s="75"/>
      <c r="C16" s="17" t="s">
        <v>5</v>
      </c>
      <c r="D16" s="17" t="s">
        <v>42</v>
      </c>
      <c r="E16" s="4">
        <f>163+72</f>
        <v>235</v>
      </c>
      <c r="F16" s="4">
        <f>6+10</f>
        <v>16</v>
      </c>
      <c r="G16" s="4">
        <f>24+6</f>
        <v>30</v>
      </c>
      <c r="H16" s="8">
        <f t="shared" ref="H16:H29" si="14">F16+G16</f>
        <v>46</v>
      </c>
      <c r="I16" s="97">
        <f t="shared" si="2"/>
        <v>0.19574468085106383</v>
      </c>
      <c r="J16" s="4">
        <v>0</v>
      </c>
      <c r="K16" s="4">
        <v>1</v>
      </c>
      <c r="L16" s="4">
        <v>3</v>
      </c>
      <c r="M16" s="4">
        <v>1</v>
      </c>
      <c r="N16" s="4">
        <f>17+10</f>
        <v>27</v>
      </c>
      <c r="O16" s="4">
        <v>0</v>
      </c>
      <c r="P16" s="8">
        <f t="shared" si="3"/>
        <v>32</v>
      </c>
      <c r="Q16" s="97">
        <f t="shared" si="4"/>
        <v>0.13617021276595745</v>
      </c>
      <c r="R16" s="8">
        <f t="shared" si="0"/>
        <v>78</v>
      </c>
      <c r="S16" s="97">
        <f t="shared" si="5"/>
        <v>0.33191489361702126</v>
      </c>
      <c r="T16" s="4">
        <v>78</v>
      </c>
      <c r="U16" s="4"/>
      <c r="V16" s="4"/>
      <c r="W16" s="4">
        <f>9+4</f>
        <v>13</v>
      </c>
      <c r="X16" s="4">
        <f>9+4</f>
        <v>13</v>
      </c>
      <c r="Y16" s="97">
        <f t="shared" si="6"/>
        <v>5.5319148936170209E-2</v>
      </c>
      <c r="Z16" s="53">
        <v>13</v>
      </c>
      <c r="AA16" s="53"/>
      <c r="AB16" s="4">
        <v>13</v>
      </c>
      <c r="AC16" s="97">
        <f t="shared" si="7"/>
        <v>5.5319148936170209E-2</v>
      </c>
      <c r="AD16" s="4"/>
      <c r="AE16" s="97">
        <f t="shared" si="8"/>
        <v>0</v>
      </c>
      <c r="AF16" s="4"/>
      <c r="AG16" s="97">
        <f t="shared" si="9"/>
        <v>0</v>
      </c>
      <c r="AH16" s="4"/>
      <c r="AI16" s="4"/>
      <c r="AJ16" s="4"/>
      <c r="AK16" s="4"/>
      <c r="AL16" s="4"/>
      <c r="AM16" s="4"/>
      <c r="AN16" s="4"/>
      <c r="AO16" s="97">
        <f t="shared" si="10"/>
        <v>0</v>
      </c>
      <c r="AP16" s="4"/>
      <c r="AQ16" s="97">
        <f t="shared" si="11"/>
        <v>0</v>
      </c>
      <c r="AR16" s="4"/>
      <c r="AS16" s="97">
        <f t="shared" si="12"/>
        <v>0</v>
      </c>
    </row>
    <row r="17" spans="1:45" x14ac:dyDescent="0.2">
      <c r="A17" s="75"/>
      <c r="B17" s="75"/>
      <c r="C17" s="17"/>
      <c r="D17" s="17" t="s">
        <v>43</v>
      </c>
      <c r="E17" s="4"/>
      <c r="F17" s="4"/>
      <c r="G17" s="4"/>
      <c r="H17" s="8">
        <f t="shared" si="14"/>
        <v>0</v>
      </c>
      <c r="I17" s="97" t="e">
        <f t="shared" si="2"/>
        <v>#DIV/0!</v>
      </c>
      <c r="J17" s="4"/>
      <c r="K17" s="4"/>
      <c r="L17" s="4"/>
      <c r="M17" s="4"/>
      <c r="N17" s="4"/>
      <c r="O17" s="4"/>
      <c r="P17" s="8">
        <f t="shared" si="3"/>
        <v>0</v>
      </c>
      <c r="Q17" s="97" t="e">
        <f t="shared" si="4"/>
        <v>#DIV/0!</v>
      </c>
      <c r="R17" s="8">
        <f t="shared" si="0"/>
        <v>0</v>
      </c>
      <c r="S17" s="97" t="e">
        <f t="shared" si="5"/>
        <v>#DIV/0!</v>
      </c>
      <c r="T17" s="4"/>
      <c r="U17" s="4"/>
      <c r="V17" s="4"/>
      <c r="W17" s="4"/>
      <c r="X17" s="4"/>
      <c r="Y17" s="97" t="e">
        <f t="shared" si="6"/>
        <v>#DIV/0!</v>
      </c>
      <c r="Z17" s="53"/>
      <c r="AA17" s="53"/>
      <c r="AB17" s="4"/>
      <c r="AC17" s="97" t="e">
        <f t="shared" si="7"/>
        <v>#DIV/0!</v>
      </c>
      <c r="AD17" s="4"/>
      <c r="AE17" s="97" t="e">
        <f t="shared" si="8"/>
        <v>#DIV/0!</v>
      </c>
      <c r="AF17" s="4"/>
      <c r="AG17" s="97" t="e">
        <f t="shared" si="9"/>
        <v>#DIV/0!</v>
      </c>
      <c r="AH17" s="4"/>
      <c r="AI17" s="4"/>
      <c r="AJ17" s="4"/>
      <c r="AK17" s="4"/>
      <c r="AL17" s="4"/>
      <c r="AM17" s="4"/>
      <c r="AN17" s="4"/>
      <c r="AO17" s="97" t="e">
        <f t="shared" si="10"/>
        <v>#DIV/0!</v>
      </c>
      <c r="AP17" s="4"/>
      <c r="AQ17" s="97" t="e">
        <f t="shared" si="11"/>
        <v>#DIV/0!</v>
      </c>
      <c r="AR17" s="4"/>
      <c r="AS17" s="97" t="e">
        <f t="shared" si="12"/>
        <v>#DIV/0!</v>
      </c>
    </row>
    <row r="18" spans="1:45" x14ac:dyDescent="0.2">
      <c r="A18" s="75"/>
      <c r="B18" s="75"/>
      <c r="C18" s="18" t="s">
        <v>6</v>
      </c>
      <c r="D18" s="17" t="s">
        <v>42</v>
      </c>
      <c r="E18" s="4">
        <v>9</v>
      </c>
      <c r="F18" s="4"/>
      <c r="G18" s="4"/>
      <c r="H18" s="8">
        <f t="shared" si="14"/>
        <v>0</v>
      </c>
      <c r="I18" s="97">
        <f t="shared" si="2"/>
        <v>0</v>
      </c>
      <c r="J18" s="4"/>
      <c r="K18" s="4"/>
      <c r="L18" s="4"/>
      <c r="M18" s="4"/>
      <c r="N18" s="4"/>
      <c r="O18" s="4"/>
      <c r="P18" s="8">
        <f t="shared" si="3"/>
        <v>0</v>
      </c>
      <c r="Q18" s="97">
        <f t="shared" si="4"/>
        <v>0</v>
      </c>
      <c r="R18" s="8">
        <f t="shared" si="0"/>
        <v>0</v>
      </c>
      <c r="S18" s="97">
        <f t="shared" si="5"/>
        <v>0</v>
      </c>
      <c r="T18" s="4"/>
      <c r="U18" s="4"/>
      <c r="V18" s="4"/>
      <c r="W18" s="4"/>
      <c r="X18" s="4"/>
      <c r="Y18" s="97">
        <f t="shared" si="6"/>
        <v>0</v>
      </c>
      <c r="Z18" s="53"/>
      <c r="AA18" s="53"/>
      <c r="AB18" s="4"/>
      <c r="AC18" s="97">
        <f t="shared" si="7"/>
        <v>0</v>
      </c>
      <c r="AD18" s="4"/>
      <c r="AE18" s="97">
        <f t="shared" si="8"/>
        <v>0</v>
      </c>
      <c r="AF18" s="4"/>
      <c r="AG18" s="97">
        <f t="shared" si="9"/>
        <v>0</v>
      </c>
      <c r="AH18" s="4"/>
      <c r="AI18" s="4"/>
      <c r="AJ18" s="4"/>
      <c r="AK18" s="4"/>
      <c r="AL18" s="4"/>
      <c r="AM18" s="4"/>
      <c r="AN18" s="4"/>
      <c r="AO18" s="97">
        <f t="shared" si="10"/>
        <v>0</v>
      </c>
      <c r="AP18" s="4"/>
      <c r="AQ18" s="97">
        <f t="shared" si="11"/>
        <v>0</v>
      </c>
      <c r="AR18" s="4"/>
      <c r="AS18" s="97">
        <f t="shared" si="12"/>
        <v>0</v>
      </c>
    </row>
    <row r="19" spans="1:45" x14ac:dyDescent="0.2">
      <c r="A19" s="75"/>
      <c r="B19" s="75"/>
      <c r="C19" s="18"/>
      <c r="D19" s="17" t="s">
        <v>43</v>
      </c>
      <c r="E19" s="4">
        <f>159+59</f>
        <v>218</v>
      </c>
      <c r="F19" s="4">
        <f>5+11</f>
        <v>16</v>
      </c>
      <c r="G19" s="4">
        <f>26+3</f>
        <v>29</v>
      </c>
      <c r="H19" s="8">
        <f t="shared" si="14"/>
        <v>45</v>
      </c>
      <c r="I19" s="97">
        <f t="shared" si="2"/>
        <v>0.20642201834862386</v>
      </c>
      <c r="J19" s="4">
        <v>1</v>
      </c>
      <c r="K19" s="4">
        <v>1</v>
      </c>
      <c r="L19" s="4">
        <v>0</v>
      </c>
      <c r="M19" s="4">
        <f>4+1</f>
        <v>5</v>
      </c>
      <c r="N19" s="4">
        <f>17+6</f>
        <v>23</v>
      </c>
      <c r="O19" s="4">
        <v>0</v>
      </c>
      <c r="P19" s="8">
        <f t="shared" si="3"/>
        <v>30</v>
      </c>
      <c r="Q19" s="97">
        <f t="shared" si="4"/>
        <v>0.13761467889908258</v>
      </c>
      <c r="R19" s="8">
        <f t="shared" si="0"/>
        <v>75</v>
      </c>
      <c r="S19" s="97">
        <f t="shared" si="5"/>
        <v>0.34403669724770641</v>
      </c>
      <c r="T19" s="4"/>
      <c r="U19" s="4">
        <v>75</v>
      </c>
      <c r="V19" s="4"/>
      <c r="W19" s="4">
        <v>4</v>
      </c>
      <c r="X19" s="4">
        <v>4</v>
      </c>
      <c r="Y19" s="97">
        <f t="shared" si="6"/>
        <v>1.834862385321101E-2</v>
      </c>
      <c r="Z19" s="53">
        <v>4</v>
      </c>
      <c r="AA19" s="53"/>
      <c r="AB19" s="4">
        <v>3</v>
      </c>
      <c r="AC19" s="97">
        <f t="shared" si="7"/>
        <v>1.3761467889908258E-2</v>
      </c>
      <c r="AD19" s="4">
        <v>1</v>
      </c>
      <c r="AE19" s="97">
        <f t="shared" si="8"/>
        <v>4.5871559633027525E-3</v>
      </c>
      <c r="AF19" s="4"/>
      <c r="AG19" s="97">
        <f t="shared" si="9"/>
        <v>0</v>
      </c>
      <c r="AH19" s="4"/>
      <c r="AI19" s="4"/>
      <c r="AJ19" s="4"/>
      <c r="AK19" s="4"/>
      <c r="AL19" s="4"/>
      <c r="AM19" s="4"/>
      <c r="AN19" s="4"/>
      <c r="AO19" s="97">
        <f t="shared" si="10"/>
        <v>0</v>
      </c>
      <c r="AP19" s="4"/>
      <c r="AQ19" s="97">
        <f t="shared" si="11"/>
        <v>0</v>
      </c>
      <c r="AR19" s="4"/>
      <c r="AS19" s="97">
        <f t="shared" si="12"/>
        <v>0</v>
      </c>
    </row>
    <row r="20" spans="1:45" x14ac:dyDescent="0.2">
      <c r="A20" s="75"/>
      <c r="B20" s="75"/>
      <c r="C20" s="18" t="s">
        <v>7</v>
      </c>
      <c r="D20" s="17" t="s">
        <v>42</v>
      </c>
      <c r="E20" s="4">
        <v>17</v>
      </c>
      <c r="F20" s="4"/>
      <c r="G20" s="4"/>
      <c r="H20" s="8">
        <f t="shared" si="14"/>
        <v>0</v>
      </c>
      <c r="I20" s="97">
        <f t="shared" si="2"/>
        <v>0</v>
      </c>
      <c r="J20" s="4"/>
      <c r="K20" s="4"/>
      <c r="L20" s="4"/>
      <c r="M20" s="4"/>
      <c r="N20" s="4"/>
      <c r="O20" s="4"/>
      <c r="P20" s="8">
        <f t="shared" si="3"/>
        <v>0</v>
      </c>
      <c r="Q20" s="97">
        <f t="shared" si="4"/>
        <v>0</v>
      </c>
      <c r="R20" s="8">
        <f t="shared" si="0"/>
        <v>0</v>
      </c>
      <c r="S20" s="97">
        <f t="shared" si="5"/>
        <v>0</v>
      </c>
      <c r="T20" s="4"/>
      <c r="U20" s="4"/>
      <c r="V20" s="4"/>
      <c r="W20" s="4"/>
      <c r="X20" s="4"/>
      <c r="Y20" s="97">
        <f t="shared" si="6"/>
        <v>0</v>
      </c>
      <c r="Z20" s="53"/>
      <c r="AA20" s="53"/>
      <c r="AB20" s="4"/>
      <c r="AC20" s="97">
        <f t="shared" si="7"/>
        <v>0</v>
      </c>
      <c r="AD20" s="4"/>
      <c r="AE20" s="97">
        <f t="shared" si="8"/>
        <v>0</v>
      </c>
      <c r="AF20" s="4"/>
      <c r="AG20" s="97">
        <f t="shared" si="9"/>
        <v>0</v>
      </c>
      <c r="AH20" s="4"/>
      <c r="AI20" s="4"/>
      <c r="AJ20" s="4"/>
      <c r="AK20" s="4"/>
      <c r="AL20" s="4"/>
      <c r="AM20" s="4"/>
      <c r="AN20" s="4"/>
      <c r="AO20" s="97">
        <f t="shared" si="10"/>
        <v>0</v>
      </c>
      <c r="AP20" s="4"/>
      <c r="AQ20" s="97">
        <f t="shared" si="11"/>
        <v>0</v>
      </c>
      <c r="AR20" s="4"/>
      <c r="AS20" s="97">
        <f t="shared" si="12"/>
        <v>0</v>
      </c>
    </row>
    <row r="21" spans="1:45" x14ac:dyDescent="0.2">
      <c r="A21" s="75"/>
      <c r="B21" s="75"/>
      <c r="C21" s="18"/>
      <c r="D21" s="17" t="s">
        <v>43</v>
      </c>
      <c r="E21" s="4">
        <f>125+56</f>
        <v>181</v>
      </c>
      <c r="F21" s="4">
        <f>4+7</f>
        <v>11</v>
      </c>
      <c r="G21" s="4">
        <f>20+4</f>
        <v>24</v>
      </c>
      <c r="H21" s="8">
        <f t="shared" si="14"/>
        <v>35</v>
      </c>
      <c r="I21" s="97">
        <f t="shared" si="2"/>
        <v>0.19337016574585636</v>
      </c>
      <c r="J21" s="4">
        <v>1</v>
      </c>
      <c r="K21" s="4">
        <v>0</v>
      </c>
      <c r="L21" s="4">
        <v>1</v>
      </c>
      <c r="M21" s="4">
        <v>2</v>
      </c>
      <c r="N21" s="4">
        <f>8+7</f>
        <v>15</v>
      </c>
      <c r="O21" s="4">
        <v>0</v>
      </c>
      <c r="P21" s="8">
        <f t="shared" si="3"/>
        <v>19</v>
      </c>
      <c r="Q21" s="97">
        <f t="shared" si="4"/>
        <v>0.10497237569060773</v>
      </c>
      <c r="R21" s="8">
        <f t="shared" si="0"/>
        <v>54</v>
      </c>
      <c r="S21" s="97">
        <f t="shared" si="5"/>
        <v>0.2983425414364641</v>
      </c>
      <c r="T21" s="4"/>
      <c r="U21" s="4">
        <v>54</v>
      </c>
      <c r="V21" s="4"/>
      <c r="W21" s="4">
        <f>3+3</f>
        <v>6</v>
      </c>
      <c r="X21" s="4">
        <f>3+3</f>
        <v>6</v>
      </c>
      <c r="Y21" s="97">
        <f t="shared" si="6"/>
        <v>3.3149171270718231E-2</v>
      </c>
      <c r="Z21" s="53">
        <v>6</v>
      </c>
      <c r="AA21" s="53"/>
      <c r="AB21" s="4">
        <v>5</v>
      </c>
      <c r="AC21" s="97">
        <f t="shared" si="7"/>
        <v>2.7624309392265192E-2</v>
      </c>
      <c r="AD21" s="4">
        <v>1</v>
      </c>
      <c r="AE21" s="97">
        <f t="shared" si="8"/>
        <v>5.5248618784530384E-3</v>
      </c>
      <c r="AF21" s="4"/>
      <c r="AG21" s="97">
        <f t="shared" si="9"/>
        <v>0</v>
      </c>
      <c r="AH21" s="4"/>
      <c r="AI21" s="4"/>
      <c r="AJ21" s="4"/>
      <c r="AK21" s="4"/>
      <c r="AL21" s="4"/>
      <c r="AM21" s="4"/>
      <c r="AN21" s="4"/>
      <c r="AO21" s="97">
        <f t="shared" si="10"/>
        <v>0</v>
      </c>
      <c r="AP21" s="4"/>
      <c r="AQ21" s="97">
        <f t="shared" si="11"/>
        <v>0</v>
      </c>
      <c r="AR21" s="4"/>
      <c r="AS21" s="97">
        <f t="shared" si="12"/>
        <v>0</v>
      </c>
    </row>
    <row r="22" spans="1:45" x14ac:dyDescent="0.2">
      <c r="A22" s="75"/>
      <c r="B22" s="75"/>
      <c r="C22" s="18" t="s">
        <v>8</v>
      </c>
      <c r="D22" s="17" t="s">
        <v>42</v>
      </c>
      <c r="E22" s="4">
        <f>146+56</f>
        <v>202</v>
      </c>
      <c r="F22" s="4">
        <f>6+9</f>
        <v>15</v>
      </c>
      <c r="G22" s="4">
        <f>28+6</f>
        <v>34</v>
      </c>
      <c r="H22" s="8">
        <f t="shared" si="14"/>
        <v>49</v>
      </c>
      <c r="I22" s="97">
        <f t="shared" si="2"/>
        <v>0.24257425742574257</v>
      </c>
      <c r="J22" s="4">
        <v>2</v>
      </c>
      <c r="K22" s="4">
        <v>0</v>
      </c>
      <c r="L22" s="4">
        <v>1</v>
      </c>
      <c r="M22" s="4">
        <v>0</v>
      </c>
      <c r="N22" s="4">
        <f>14+7</f>
        <v>21</v>
      </c>
      <c r="O22" s="4">
        <v>0</v>
      </c>
      <c r="P22" s="8">
        <f t="shared" si="3"/>
        <v>24</v>
      </c>
      <c r="Q22" s="97">
        <f t="shared" si="4"/>
        <v>0.11881188118811881</v>
      </c>
      <c r="R22" s="8">
        <f t="shared" si="0"/>
        <v>73</v>
      </c>
      <c r="S22" s="97">
        <f t="shared" si="5"/>
        <v>0.36138613861386137</v>
      </c>
      <c r="T22" s="4">
        <v>73</v>
      </c>
      <c r="U22" s="4"/>
      <c r="V22" s="4"/>
      <c r="W22" s="4">
        <v>3</v>
      </c>
      <c r="X22" s="4">
        <v>3</v>
      </c>
      <c r="Y22" s="97">
        <f t="shared" si="6"/>
        <v>1.4851485148514851E-2</v>
      </c>
      <c r="Z22" s="53">
        <v>3</v>
      </c>
      <c r="AA22" s="53"/>
      <c r="AB22" s="4">
        <v>3</v>
      </c>
      <c r="AC22" s="97">
        <f t="shared" si="7"/>
        <v>1.4851485148514851E-2</v>
      </c>
      <c r="AD22" s="4"/>
      <c r="AE22" s="97">
        <f t="shared" si="8"/>
        <v>0</v>
      </c>
      <c r="AF22" s="4"/>
      <c r="AG22" s="97">
        <f t="shared" si="9"/>
        <v>0</v>
      </c>
      <c r="AH22" s="4"/>
      <c r="AI22" s="4"/>
      <c r="AJ22" s="4"/>
      <c r="AK22" s="4"/>
      <c r="AL22" s="4"/>
      <c r="AM22" s="4"/>
      <c r="AN22" s="4"/>
      <c r="AO22" s="97">
        <f t="shared" si="10"/>
        <v>0</v>
      </c>
      <c r="AP22" s="4"/>
      <c r="AQ22" s="97">
        <f t="shared" si="11"/>
        <v>0</v>
      </c>
      <c r="AR22" s="4"/>
      <c r="AS22" s="97">
        <f t="shared" si="12"/>
        <v>0</v>
      </c>
    </row>
    <row r="23" spans="1:45" x14ac:dyDescent="0.2">
      <c r="A23" s="75"/>
      <c r="B23" s="75"/>
      <c r="C23" s="18"/>
      <c r="D23" s="17" t="s">
        <v>43</v>
      </c>
      <c r="E23" s="4"/>
      <c r="F23" s="4"/>
      <c r="G23" s="4"/>
      <c r="H23" s="8">
        <f t="shared" si="14"/>
        <v>0</v>
      </c>
      <c r="I23" s="97" t="e">
        <f t="shared" si="2"/>
        <v>#DIV/0!</v>
      </c>
      <c r="J23" s="4"/>
      <c r="K23" s="4"/>
      <c r="L23" s="4"/>
      <c r="M23" s="4"/>
      <c r="N23" s="4"/>
      <c r="O23" s="4"/>
      <c r="P23" s="8">
        <f t="shared" si="3"/>
        <v>0</v>
      </c>
      <c r="Q23" s="97" t="e">
        <f t="shared" si="4"/>
        <v>#DIV/0!</v>
      </c>
      <c r="R23" s="8">
        <f t="shared" si="0"/>
        <v>0</v>
      </c>
      <c r="S23" s="97" t="e">
        <f t="shared" si="5"/>
        <v>#DIV/0!</v>
      </c>
      <c r="T23" s="4"/>
      <c r="U23" s="4"/>
      <c r="V23" s="4"/>
      <c r="W23" s="4"/>
      <c r="X23" s="4"/>
      <c r="Y23" s="97" t="e">
        <f t="shared" si="6"/>
        <v>#DIV/0!</v>
      </c>
      <c r="Z23" s="53"/>
      <c r="AA23" s="53"/>
      <c r="AB23" s="4"/>
      <c r="AC23" s="97" t="e">
        <f t="shared" si="7"/>
        <v>#DIV/0!</v>
      </c>
      <c r="AD23" s="4"/>
      <c r="AE23" s="97" t="e">
        <f t="shared" si="8"/>
        <v>#DIV/0!</v>
      </c>
      <c r="AF23" s="4"/>
      <c r="AG23" s="97" t="e">
        <f t="shared" si="9"/>
        <v>#DIV/0!</v>
      </c>
      <c r="AH23" s="4"/>
      <c r="AI23" s="4"/>
      <c r="AJ23" s="4"/>
      <c r="AK23" s="4"/>
      <c r="AL23" s="4"/>
      <c r="AM23" s="4"/>
      <c r="AN23" s="4"/>
      <c r="AO23" s="97" t="e">
        <f t="shared" si="10"/>
        <v>#DIV/0!</v>
      </c>
      <c r="AP23" s="4"/>
      <c r="AQ23" s="97" t="e">
        <f t="shared" si="11"/>
        <v>#DIV/0!</v>
      </c>
      <c r="AR23" s="4"/>
      <c r="AS23" s="97" t="e">
        <f t="shared" si="12"/>
        <v>#DIV/0!</v>
      </c>
    </row>
    <row r="24" spans="1:45" x14ac:dyDescent="0.2">
      <c r="A24" s="75"/>
      <c r="B24" s="75"/>
      <c r="C24" s="18" t="s">
        <v>9</v>
      </c>
      <c r="D24" s="17" t="s">
        <v>42</v>
      </c>
      <c r="E24" s="41">
        <f>129+53</f>
        <v>182</v>
      </c>
      <c r="F24" s="4">
        <f>10+5</f>
        <v>15</v>
      </c>
      <c r="G24" s="4">
        <f>15+2</f>
        <v>17</v>
      </c>
      <c r="H24" s="8">
        <f t="shared" si="14"/>
        <v>32</v>
      </c>
      <c r="I24" s="97">
        <f t="shared" si="2"/>
        <v>0.17582417582417584</v>
      </c>
      <c r="J24" s="4">
        <v>0</v>
      </c>
      <c r="K24" s="4">
        <v>1</v>
      </c>
      <c r="L24" s="4">
        <v>0</v>
      </c>
      <c r="M24" s="4">
        <v>0</v>
      </c>
      <c r="N24" s="4">
        <f>12+9</f>
        <v>21</v>
      </c>
      <c r="O24" s="4">
        <v>0</v>
      </c>
      <c r="P24" s="8">
        <f t="shared" si="3"/>
        <v>22</v>
      </c>
      <c r="Q24" s="97">
        <f t="shared" si="4"/>
        <v>0.12087912087912088</v>
      </c>
      <c r="R24" s="8">
        <f t="shared" si="0"/>
        <v>54</v>
      </c>
      <c r="S24" s="97">
        <f t="shared" si="5"/>
        <v>0.2967032967032967</v>
      </c>
      <c r="T24" s="4">
        <v>54</v>
      </c>
      <c r="U24" s="4"/>
      <c r="V24" s="4"/>
      <c r="W24" s="4">
        <f>1+7</f>
        <v>8</v>
      </c>
      <c r="X24" s="4">
        <f>1+7</f>
        <v>8</v>
      </c>
      <c r="Y24" s="97">
        <f t="shared" si="6"/>
        <v>4.3956043956043959E-2</v>
      </c>
      <c r="Z24" s="53">
        <v>8</v>
      </c>
      <c r="AA24" s="53"/>
      <c r="AB24" s="4">
        <v>7</v>
      </c>
      <c r="AC24" s="97">
        <f t="shared" si="7"/>
        <v>3.8461538461538464E-2</v>
      </c>
      <c r="AD24" s="4">
        <v>1</v>
      </c>
      <c r="AE24" s="97">
        <f t="shared" si="8"/>
        <v>5.4945054945054949E-3</v>
      </c>
      <c r="AF24" s="4"/>
      <c r="AG24" s="97">
        <f t="shared" si="9"/>
        <v>0</v>
      </c>
      <c r="AH24" s="4"/>
      <c r="AI24" s="4"/>
      <c r="AJ24" s="4"/>
      <c r="AK24" s="4"/>
      <c r="AL24" s="4"/>
      <c r="AM24" s="4"/>
      <c r="AN24" s="4"/>
      <c r="AO24" s="97">
        <f t="shared" si="10"/>
        <v>0</v>
      </c>
      <c r="AP24" s="4"/>
      <c r="AQ24" s="97">
        <f t="shared" si="11"/>
        <v>0</v>
      </c>
      <c r="AR24" s="4"/>
      <c r="AS24" s="97">
        <f t="shared" si="12"/>
        <v>0</v>
      </c>
    </row>
    <row r="25" spans="1:45" ht="15.75" customHeight="1" x14ac:dyDescent="0.2">
      <c r="A25" s="75"/>
      <c r="B25" s="75"/>
      <c r="C25" s="3" t="s">
        <v>44</v>
      </c>
      <c r="D25" s="7"/>
      <c r="E25" s="8">
        <f>SUM(E16:E24)</f>
        <v>1044</v>
      </c>
      <c r="F25" s="8">
        <f>SUM(F16:F24)</f>
        <v>73</v>
      </c>
      <c r="G25" s="8">
        <f>SUM(G16:G24)</f>
        <v>134</v>
      </c>
      <c r="H25" s="8">
        <f t="shared" si="14"/>
        <v>207</v>
      </c>
      <c r="I25" s="97">
        <f t="shared" si="2"/>
        <v>0.19827586206896552</v>
      </c>
      <c r="J25" s="8">
        <f t="shared" ref="J25:P25" si="15">SUM(J16:J24)</f>
        <v>4</v>
      </c>
      <c r="K25" s="8">
        <f t="shared" si="15"/>
        <v>3</v>
      </c>
      <c r="L25" s="8">
        <f t="shared" si="15"/>
        <v>5</v>
      </c>
      <c r="M25" s="8">
        <f t="shared" si="15"/>
        <v>8</v>
      </c>
      <c r="N25" s="8">
        <f t="shared" si="15"/>
        <v>107</v>
      </c>
      <c r="O25" s="8">
        <f t="shared" si="15"/>
        <v>0</v>
      </c>
      <c r="P25" s="8">
        <f t="shared" si="15"/>
        <v>127</v>
      </c>
      <c r="Q25" s="97">
        <f t="shared" si="4"/>
        <v>0.12164750957854406</v>
      </c>
      <c r="R25" s="8">
        <f t="shared" si="0"/>
        <v>334</v>
      </c>
      <c r="S25" s="97">
        <f t="shared" si="5"/>
        <v>0.31992337164750956</v>
      </c>
      <c r="T25" s="8">
        <f>SUM(T16:T24)</f>
        <v>205</v>
      </c>
      <c r="U25" s="8">
        <f>SUM(U16:U24)</f>
        <v>129</v>
      </c>
      <c r="V25" s="10">
        <f>SUM(V16:V24)</f>
        <v>0</v>
      </c>
      <c r="W25" s="10">
        <f>SUM(W16:W24)</f>
        <v>34</v>
      </c>
      <c r="X25" s="10">
        <f>SUM(X16:X24)</f>
        <v>34</v>
      </c>
      <c r="Y25" s="97">
        <f t="shared" si="6"/>
        <v>3.2567049808429116E-2</v>
      </c>
      <c r="Z25" s="9">
        <f>SUM(Z16:Z24)</f>
        <v>34</v>
      </c>
      <c r="AA25" s="9">
        <f>SUM(AA16:AA24)</f>
        <v>0</v>
      </c>
      <c r="AB25" s="8">
        <f>SUM(AB16:AB24)</f>
        <v>31</v>
      </c>
      <c r="AC25" s="97">
        <f t="shared" si="7"/>
        <v>2.9693486590038315E-2</v>
      </c>
      <c r="AD25" s="8">
        <f>SUM(AD16:AD24)</f>
        <v>3</v>
      </c>
      <c r="AE25" s="97">
        <f t="shared" si="8"/>
        <v>2.8735632183908046E-3</v>
      </c>
      <c r="AF25" s="8">
        <f>SUM(AF16:AF24)</f>
        <v>0</v>
      </c>
      <c r="AG25" s="97">
        <f t="shared" si="9"/>
        <v>0</v>
      </c>
      <c r="AH25" s="8" t="e">
        <f>AVERAGE(AH16:AH24)</f>
        <v>#DIV/0!</v>
      </c>
      <c r="AI25" s="8">
        <f>SUM(AI16:AI24)</f>
        <v>0</v>
      </c>
      <c r="AJ25" s="8" t="e">
        <f>AVERAGE(AJ16:AJ24)</f>
        <v>#DIV/0!</v>
      </c>
      <c r="AK25" s="8">
        <f>SUM(AK16:AK24)</f>
        <v>0</v>
      </c>
      <c r="AL25" s="8" t="e">
        <f>AVERAGE(AL16:AL24)</f>
        <v>#DIV/0!</v>
      </c>
      <c r="AM25" s="8">
        <f>SUM(AM16:AM24)</f>
        <v>0</v>
      </c>
      <c r="AN25" s="8">
        <f>SUM(AN16:AN24)</f>
        <v>0</v>
      </c>
      <c r="AO25" s="97">
        <f t="shared" si="10"/>
        <v>0</v>
      </c>
      <c r="AP25" s="8">
        <f>SUM(AP16:AP24)</f>
        <v>0</v>
      </c>
      <c r="AQ25" s="97">
        <f t="shared" si="11"/>
        <v>0</v>
      </c>
      <c r="AR25" s="8">
        <f>SUM(AR16:AR24)</f>
        <v>0</v>
      </c>
      <c r="AS25" s="97">
        <f t="shared" si="12"/>
        <v>0</v>
      </c>
    </row>
    <row r="26" spans="1:45" ht="14.25" x14ac:dyDescent="0.2">
      <c r="A26" s="75"/>
      <c r="B26" s="75"/>
      <c r="C26" s="3" t="s">
        <v>10</v>
      </c>
      <c r="D26" s="26" t="s">
        <v>42</v>
      </c>
      <c r="E26" s="4">
        <v>34</v>
      </c>
      <c r="F26" s="4"/>
      <c r="G26" s="4">
        <v>2</v>
      </c>
      <c r="H26" s="8">
        <f t="shared" si="14"/>
        <v>2</v>
      </c>
      <c r="I26" s="97">
        <f t="shared" si="2"/>
        <v>5.8823529411764705E-2</v>
      </c>
      <c r="J26" s="4"/>
      <c r="K26" s="4"/>
      <c r="L26" s="4"/>
      <c r="M26" s="4"/>
      <c r="N26" s="4">
        <v>10</v>
      </c>
      <c r="O26" s="4"/>
      <c r="P26" s="8">
        <f t="shared" si="3"/>
        <v>10</v>
      </c>
      <c r="Q26" s="97">
        <f t="shared" si="4"/>
        <v>0.29411764705882354</v>
      </c>
      <c r="R26" s="8">
        <f t="shared" si="0"/>
        <v>12</v>
      </c>
      <c r="S26" s="97">
        <f t="shared" si="5"/>
        <v>0.35294117647058826</v>
      </c>
      <c r="T26" s="4">
        <v>12</v>
      </c>
      <c r="U26" s="4"/>
      <c r="V26" s="4"/>
      <c r="W26" s="4"/>
      <c r="X26" s="4"/>
      <c r="Y26" s="97">
        <f t="shared" si="6"/>
        <v>0</v>
      </c>
      <c r="Z26" s="15"/>
      <c r="AA26" s="15"/>
      <c r="AB26" s="4"/>
      <c r="AC26" s="97">
        <f t="shared" si="7"/>
        <v>0</v>
      </c>
      <c r="AD26" s="4"/>
      <c r="AE26" s="97">
        <f t="shared" si="8"/>
        <v>0</v>
      </c>
      <c r="AF26" s="4"/>
      <c r="AG26" s="97">
        <f t="shared" si="9"/>
        <v>0</v>
      </c>
      <c r="AH26" s="4"/>
      <c r="AI26" s="4"/>
      <c r="AJ26" s="4"/>
      <c r="AK26" s="4"/>
      <c r="AL26" s="4"/>
      <c r="AM26" s="4"/>
      <c r="AN26" s="4"/>
      <c r="AO26" s="97">
        <f t="shared" si="10"/>
        <v>0</v>
      </c>
      <c r="AP26" s="4"/>
      <c r="AQ26" s="97">
        <f t="shared" si="11"/>
        <v>0</v>
      </c>
      <c r="AR26" s="4"/>
      <c r="AS26" s="97">
        <f t="shared" si="12"/>
        <v>0</v>
      </c>
    </row>
    <row r="27" spans="1:45" ht="14.25" x14ac:dyDescent="0.2">
      <c r="A27" s="75"/>
      <c r="B27" s="75"/>
      <c r="C27" s="3" t="s">
        <v>11</v>
      </c>
      <c r="D27" s="26" t="s">
        <v>42</v>
      </c>
      <c r="E27" s="4">
        <f>26+21</f>
        <v>47</v>
      </c>
      <c r="F27" s="4">
        <f>2+6</f>
        <v>8</v>
      </c>
      <c r="G27" s="4">
        <v>3</v>
      </c>
      <c r="H27" s="8">
        <f t="shared" si="14"/>
        <v>11</v>
      </c>
      <c r="I27" s="97">
        <f t="shared" si="2"/>
        <v>0.23404255319148937</v>
      </c>
      <c r="J27" s="4"/>
      <c r="K27" s="4"/>
      <c r="L27" s="4"/>
      <c r="M27" s="4"/>
      <c r="N27" s="4">
        <f>1+2</f>
        <v>3</v>
      </c>
      <c r="O27" s="4"/>
      <c r="P27" s="8">
        <f t="shared" si="3"/>
        <v>3</v>
      </c>
      <c r="Q27" s="97">
        <f t="shared" si="4"/>
        <v>6.3829787234042548E-2</v>
      </c>
      <c r="R27" s="8">
        <f t="shared" si="0"/>
        <v>14</v>
      </c>
      <c r="S27" s="97">
        <f t="shared" si="5"/>
        <v>0.2978723404255319</v>
      </c>
      <c r="T27" s="4">
        <v>14</v>
      </c>
      <c r="U27" s="4"/>
      <c r="V27" s="4"/>
      <c r="W27" s="4"/>
      <c r="X27" s="4"/>
      <c r="Y27" s="97">
        <f t="shared" si="6"/>
        <v>0</v>
      </c>
      <c r="Z27" s="15"/>
      <c r="AA27" s="15"/>
      <c r="AB27" s="4"/>
      <c r="AC27" s="97">
        <f t="shared" si="7"/>
        <v>0</v>
      </c>
      <c r="AD27" s="4"/>
      <c r="AE27" s="97">
        <f t="shared" si="8"/>
        <v>0</v>
      </c>
      <c r="AF27" s="4">
        <v>0</v>
      </c>
      <c r="AG27" s="97">
        <f t="shared" si="9"/>
        <v>0</v>
      </c>
      <c r="AH27" s="4"/>
      <c r="AI27" s="4"/>
      <c r="AJ27" s="4"/>
      <c r="AK27" s="4"/>
      <c r="AL27" s="4"/>
      <c r="AM27" s="4"/>
      <c r="AN27" s="4"/>
      <c r="AO27" s="97">
        <f t="shared" si="10"/>
        <v>0</v>
      </c>
      <c r="AP27" s="4"/>
      <c r="AQ27" s="97">
        <f t="shared" si="11"/>
        <v>0</v>
      </c>
      <c r="AR27" s="4"/>
      <c r="AS27" s="97">
        <f t="shared" si="12"/>
        <v>0</v>
      </c>
    </row>
    <row r="28" spans="1:45" x14ac:dyDescent="0.2">
      <c r="A28" s="75"/>
      <c r="B28" s="75"/>
      <c r="C28" s="3" t="s">
        <v>67</v>
      </c>
      <c r="D28" s="7"/>
      <c r="E28" s="8">
        <f>SUM(E26:E27)</f>
        <v>81</v>
      </c>
      <c r="F28" s="8">
        <f>SUM(F26:F27)</f>
        <v>8</v>
      </c>
      <c r="G28" s="8">
        <f>SUM(G26:G27)</f>
        <v>5</v>
      </c>
      <c r="H28" s="8">
        <f t="shared" si="14"/>
        <v>13</v>
      </c>
      <c r="I28" s="97">
        <f t="shared" si="2"/>
        <v>0.16049382716049382</v>
      </c>
      <c r="J28" s="8">
        <f t="shared" ref="J28:P28" si="16">SUM(J26:J27)</f>
        <v>0</v>
      </c>
      <c r="K28" s="8">
        <f t="shared" si="16"/>
        <v>0</v>
      </c>
      <c r="L28" s="8">
        <f t="shared" si="16"/>
        <v>0</v>
      </c>
      <c r="M28" s="8">
        <f t="shared" si="16"/>
        <v>0</v>
      </c>
      <c r="N28" s="8">
        <f t="shared" si="16"/>
        <v>13</v>
      </c>
      <c r="O28" s="8">
        <f t="shared" si="16"/>
        <v>0</v>
      </c>
      <c r="P28" s="8">
        <f t="shared" si="16"/>
        <v>13</v>
      </c>
      <c r="Q28" s="97">
        <f t="shared" si="4"/>
        <v>0.16049382716049382</v>
      </c>
      <c r="R28" s="8">
        <f t="shared" si="0"/>
        <v>26</v>
      </c>
      <c r="S28" s="97">
        <f t="shared" si="5"/>
        <v>0.32098765432098764</v>
      </c>
      <c r="T28" s="8">
        <f>SUM(T26:T27)</f>
        <v>26</v>
      </c>
      <c r="U28" s="8">
        <f>SUM(U26:U27)</f>
        <v>0</v>
      </c>
      <c r="V28" s="10">
        <f>SUM(V26:V27)</f>
        <v>0</v>
      </c>
      <c r="W28" s="10">
        <f>SUM(W26:W27)</f>
        <v>0</v>
      </c>
      <c r="X28" s="10">
        <f>SUM(X26:X27)</f>
        <v>0</v>
      </c>
      <c r="Y28" s="97">
        <f t="shared" si="6"/>
        <v>0</v>
      </c>
      <c r="Z28" s="9">
        <f>SUM(Z26:Z27)</f>
        <v>0</v>
      </c>
      <c r="AA28" s="9">
        <f>SUM(AA26:AA27)</f>
        <v>0</v>
      </c>
      <c r="AB28" s="8">
        <f>SUM(AB26:AB27)</f>
        <v>0</v>
      </c>
      <c r="AC28" s="97">
        <f t="shared" si="7"/>
        <v>0</v>
      </c>
      <c r="AD28" s="8">
        <f>SUM(AD26:AD27)</f>
        <v>0</v>
      </c>
      <c r="AE28" s="97">
        <f t="shared" si="8"/>
        <v>0</v>
      </c>
      <c r="AF28" s="8">
        <f>SUM(AF26:AF27)</f>
        <v>0</v>
      </c>
      <c r="AG28" s="97">
        <f t="shared" si="9"/>
        <v>0</v>
      </c>
      <c r="AH28" s="8" t="e">
        <f>AVERAGE(AH26:AH27)</f>
        <v>#DIV/0!</v>
      </c>
      <c r="AI28" s="8">
        <f>SUM(AI26:AI27)</f>
        <v>0</v>
      </c>
      <c r="AJ28" s="8" t="e">
        <f>AVERAGE(AJ26:AJ27)</f>
        <v>#DIV/0!</v>
      </c>
      <c r="AK28" s="8">
        <f>SUM(AK26:AK27)</f>
        <v>0</v>
      </c>
      <c r="AL28" s="8" t="e">
        <f>AVERAGE(AL26:AL27)</f>
        <v>#DIV/0!</v>
      </c>
      <c r="AM28" s="8">
        <f>SUM(AM26:AM27)</f>
        <v>0</v>
      </c>
      <c r="AN28" s="8">
        <f>SUM(AN26:AN27)</f>
        <v>0</v>
      </c>
      <c r="AO28" s="97">
        <f t="shared" si="10"/>
        <v>0</v>
      </c>
      <c r="AP28" s="8">
        <f>SUM(AP26:AP27)</f>
        <v>0</v>
      </c>
      <c r="AQ28" s="97">
        <f t="shared" si="11"/>
        <v>0</v>
      </c>
      <c r="AR28" s="8">
        <f>SUM(AR26:AR27)</f>
        <v>0</v>
      </c>
      <c r="AS28" s="97">
        <f t="shared" si="12"/>
        <v>0</v>
      </c>
    </row>
    <row r="29" spans="1:45" ht="13.5" customHeight="1" x14ac:dyDescent="0.2">
      <c r="A29" s="76"/>
      <c r="B29" s="76"/>
      <c r="C29" s="3" t="s">
        <v>38</v>
      </c>
      <c r="D29" s="7"/>
      <c r="E29" s="8">
        <f>E15+E25+E28</f>
        <v>2343</v>
      </c>
      <c r="F29" s="8">
        <f>F15+F25+F28</f>
        <v>135</v>
      </c>
      <c r="G29" s="8">
        <f>G15+G25+G28</f>
        <v>196</v>
      </c>
      <c r="H29" s="8">
        <f t="shared" si="14"/>
        <v>331</v>
      </c>
      <c r="I29" s="97">
        <f t="shared" si="2"/>
        <v>0.14127187366623986</v>
      </c>
      <c r="J29" s="8">
        <f t="shared" ref="J29:P29" si="17">J15+J25+J28</f>
        <v>4</v>
      </c>
      <c r="K29" s="8">
        <f t="shared" si="17"/>
        <v>4</v>
      </c>
      <c r="L29" s="8">
        <f t="shared" si="17"/>
        <v>7</v>
      </c>
      <c r="M29" s="8">
        <f t="shared" si="17"/>
        <v>10</v>
      </c>
      <c r="N29" s="8">
        <f t="shared" si="17"/>
        <v>192</v>
      </c>
      <c r="O29" s="8">
        <f t="shared" si="17"/>
        <v>0</v>
      </c>
      <c r="P29" s="8">
        <f t="shared" si="17"/>
        <v>217</v>
      </c>
      <c r="Q29" s="97">
        <f t="shared" si="4"/>
        <v>9.2616303883909512E-2</v>
      </c>
      <c r="R29" s="8">
        <f t="shared" si="0"/>
        <v>548</v>
      </c>
      <c r="S29" s="97">
        <f t="shared" si="5"/>
        <v>0.23388817755014937</v>
      </c>
      <c r="T29" s="8">
        <f>T15+T25+T28</f>
        <v>311</v>
      </c>
      <c r="U29" s="8">
        <f>U15+U25+U28</f>
        <v>237</v>
      </c>
      <c r="V29" s="10">
        <f>V28+V25+V15</f>
        <v>0</v>
      </c>
      <c r="W29" s="10">
        <f>W28+W25+W15</f>
        <v>52</v>
      </c>
      <c r="X29" s="10">
        <f>X28+X25+X15</f>
        <v>52</v>
      </c>
      <c r="Y29" s="97">
        <f t="shared" si="6"/>
        <v>2.2193768672641914E-2</v>
      </c>
      <c r="Z29" s="9">
        <f>Z28+Z25+Z15</f>
        <v>52</v>
      </c>
      <c r="AA29" s="9">
        <f>AA28+AA25+AA15</f>
        <v>0</v>
      </c>
      <c r="AB29" s="8">
        <f>AB28+AB25+AB15</f>
        <v>49</v>
      </c>
      <c r="AC29" s="97">
        <f t="shared" si="7"/>
        <v>2.0913358941527956E-2</v>
      </c>
      <c r="AD29" s="8">
        <f>AD15+AD25+AD28</f>
        <v>3</v>
      </c>
      <c r="AE29" s="97">
        <f t="shared" si="8"/>
        <v>1.2804097311139564E-3</v>
      </c>
      <c r="AF29" s="8">
        <f>AF15+AF25+AF28</f>
        <v>0</v>
      </c>
      <c r="AG29" s="97">
        <f t="shared" si="9"/>
        <v>0</v>
      </c>
      <c r="AH29" s="8"/>
      <c r="AI29" s="8">
        <f>AI28+AI25+AI15</f>
        <v>0</v>
      </c>
      <c r="AJ29" s="8"/>
      <c r="AK29" s="8">
        <f>AK28+AK25+AK15</f>
        <v>0</v>
      </c>
      <c r="AL29" s="8"/>
      <c r="AM29" s="8">
        <f>AM28+AM25+AM15</f>
        <v>0</v>
      </c>
      <c r="AN29" s="8">
        <f>AN28+AN25+AN15</f>
        <v>0</v>
      </c>
      <c r="AO29" s="97">
        <f t="shared" si="10"/>
        <v>0</v>
      </c>
      <c r="AP29" s="8">
        <f>AP15+AP25+AP28</f>
        <v>0</v>
      </c>
      <c r="AQ29" s="97">
        <f t="shared" si="11"/>
        <v>0</v>
      </c>
      <c r="AR29" s="8">
        <f>AR15+AR25+AR28</f>
        <v>0</v>
      </c>
      <c r="AS29" s="97">
        <f t="shared" si="12"/>
        <v>0</v>
      </c>
    </row>
    <row r="30" spans="1:45" s="91" customFormat="1" x14ac:dyDescent="0.2">
      <c r="A30" s="5"/>
      <c r="B30" s="5"/>
      <c r="C30" s="92"/>
      <c r="D30" s="92"/>
      <c r="E30" s="5"/>
      <c r="F30" s="5"/>
      <c r="G30" s="5"/>
      <c r="H30" s="92"/>
      <c r="I30" s="92"/>
      <c r="J30" s="120"/>
      <c r="K30" s="120"/>
      <c r="L30" s="120"/>
      <c r="M30" s="120"/>
      <c r="N30" s="120"/>
      <c r="O30" s="120"/>
      <c r="P30" s="120"/>
      <c r="Q30" s="120"/>
      <c r="R30" s="92"/>
    </row>
    <row r="31" spans="1:45" x14ac:dyDescent="0.2">
      <c r="C31" s="121" t="s">
        <v>102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1"/>
    </row>
    <row r="32" spans="1:45" ht="18.75" customHeight="1" x14ac:dyDescent="0.2"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</row>
    <row r="33" spans="3:18" x14ac:dyDescent="0.2">
      <c r="C33" s="40"/>
      <c r="D33" s="40"/>
      <c r="E33" s="5"/>
      <c r="F33" s="5"/>
      <c r="G33" s="5"/>
      <c r="H33" s="40"/>
      <c r="I33" s="40"/>
      <c r="J33" s="120"/>
      <c r="K33" s="120"/>
      <c r="L33" s="120"/>
      <c r="M33" s="120"/>
      <c r="N33" s="120"/>
      <c r="O33" s="120"/>
      <c r="P33" s="120"/>
      <c r="Q33" s="120"/>
      <c r="R33" s="40"/>
    </row>
    <row r="35" spans="3:18" ht="22.5" customHeight="1" x14ac:dyDescent="0.2">
      <c r="C35" s="119" t="s">
        <v>70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</row>
  </sheetData>
  <autoFilter ref="A6:AS29"/>
  <dataConsolidate/>
  <customSheetViews>
    <customSheetView guid="{F5FAE67C-CEE2-4A2A-9069-07B5744A8E99}" showAutoFilter="1">
      <pane xSplit="3" ySplit="6" topLeftCell="D7" activePane="bottomRight" state="frozen"/>
      <selection pane="bottomRight" activeCell="M5" sqref="M5"/>
      <pageMargins left="0.78740157480314965" right="0.78740157480314965" top="0.39370078740157483" bottom="0.39370078740157483" header="0.51181102362204722" footer="0.51181102362204722"/>
      <pageSetup paperSize="9" orientation="landscape" r:id="rId1"/>
      <headerFooter alignWithMargins="0"/>
      <autoFilter ref="A6:AS29"/>
    </customSheetView>
  </customSheetViews>
  <mergeCells count="31">
    <mergeCell ref="A3:A5"/>
    <mergeCell ref="B3:B5"/>
    <mergeCell ref="J33:K33"/>
    <mergeCell ref="L33:Q33"/>
    <mergeCell ref="D3:D5"/>
    <mergeCell ref="F4:I4"/>
    <mergeCell ref="J4:Q4"/>
    <mergeCell ref="F3:U3"/>
    <mergeCell ref="R4:R5"/>
    <mergeCell ref="S4:S5"/>
    <mergeCell ref="J30:K30"/>
    <mergeCell ref="L30:Q30"/>
    <mergeCell ref="C2:Y2"/>
    <mergeCell ref="C3:C5"/>
    <mergeCell ref="E3:E5"/>
    <mergeCell ref="V4:V5"/>
    <mergeCell ref="W4:W5"/>
    <mergeCell ref="T4:U4"/>
    <mergeCell ref="V3:AG3"/>
    <mergeCell ref="Z4:Z5"/>
    <mergeCell ref="AA4:AA5"/>
    <mergeCell ref="AN4:AS4"/>
    <mergeCell ref="AH3:AS3"/>
    <mergeCell ref="C35:R35"/>
    <mergeCell ref="C31:T32"/>
    <mergeCell ref="X4:X5"/>
    <mergeCell ref="Y4:Y5"/>
    <mergeCell ref="AJ4:AK4"/>
    <mergeCell ref="AL4:AM4"/>
    <mergeCell ref="AB4:AG4"/>
    <mergeCell ref="AH4:AI4"/>
  </mergeCells>
  <phoneticPr fontId="1" type="noConversion"/>
  <conditionalFormatting sqref="I7:I29 Q7:Q29 S7:S29 Y7:Y29 AC7:AC29 AE7:AE29 AG7:AG29 AO7:AO29 AQ7:AQ29 AS7:AS29">
    <cfRule type="cellIs" dxfId="1" priority="1" operator="greaterThan">
      <formula>1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I20" sqref="I20"/>
    </sheetView>
  </sheetViews>
  <sheetFormatPr defaultRowHeight="15" x14ac:dyDescent="0.2"/>
  <cols>
    <col min="1" max="1" width="4.85546875" style="19" customWidth="1"/>
    <col min="2" max="2" width="7.42578125" style="19" customWidth="1"/>
    <col min="3" max="3" width="6.5703125" style="81" customWidth="1"/>
    <col min="4" max="4" width="8.28515625" style="81" customWidth="1"/>
    <col min="5" max="5" width="7.42578125" style="81" customWidth="1"/>
    <col min="6" max="6" width="8.140625" style="81" customWidth="1"/>
    <col min="7" max="7" width="6.5703125" style="81" customWidth="1"/>
    <col min="8" max="8" width="7" style="81" customWidth="1"/>
    <col min="9" max="9" width="8.7109375" style="81" customWidth="1"/>
    <col min="10" max="10" width="6.28515625" style="81" customWidth="1"/>
    <col min="11" max="11" width="8.7109375" style="81" customWidth="1"/>
    <col min="12" max="12" width="6.5703125" style="81" customWidth="1"/>
    <col min="13" max="13" width="8.28515625" style="81" customWidth="1"/>
    <col min="14" max="14" width="6" style="81" customWidth="1"/>
    <col min="15" max="15" width="8.140625" style="81" customWidth="1"/>
    <col min="16" max="16" width="6.5703125" style="81" customWidth="1"/>
    <col min="17" max="17" width="7.85546875" style="81" customWidth="1"/>
    <col min="18" max="18" width="7" style="81" customWidth="1"/>
    <col min="19" max="19" width="7.5703125" style="81" customWidth="1"/>
    <col min="20" max="20" width="6.7109375" style="81" customWidth="1"/>
    <col min="21" max="16384" width="9.140625" style="60"/>
  </cols>
  <sheetData>
    <row r="1" spans="1:20" ht="18" customHeight="1" x14ac:dyDescent="0.2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5.75" customHeight="1" x14ac:dyDescent="0.2">
      <c r="A2" s="110" t="s">
        <v>116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6"/>
      <c r="T2" s="56"/>
    </row>
    <row r="3" spans="1:20" ht="15.7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6"/>
      <c r="T3" s="56"/>
    </row>
    <row r="4" spans="1:20" ht="58.5" customHeight="1" x14ac:dyDescent="0.2">
      <c r="A4" s="84" t="s">
        <v>14</v>
      </c>
      <c r="B4" s="84" t="s">
        <v>15</v>
      </c>
      <c r="C4" s="84" t="s">
        <v>45</v>
      </c>
      <c r="D4" s="84" t="s">
        <v>46</v>
      </c>
      <c r="E4" s="140" t="s">
        <v>54</v>
      </c>
      <c r="F4" s="141"/>
      <c r="G4" s="142"/>
      <c r="H4" s="140" t="s">
        <v>55</v>
      </c>
      <c r="I4" s="141"/>
      <c r="J4" s="142"/>
      <c r="K4" s="146" t="s">
        <v>56</v>
      </c>
      <c r="L4" s="147"/>
      <c r="M4" s="141" t="s">
        <v>73</v>
      </c>
      <c r="N4" s="142"/>
      <c r="O4" s="140" t="s">
        <v>60</v>
      </c>
      <c r="P4" s="142"/>
      <c r="Q4" s="140" t="s">
        <v>57</v>
      </c>
      <c r="R4" s="142"/>
      <c r="S4" s="111" t="s">
        <v>59</v>
      </c>
      <c r="T4" s="111"/>
    </row>
    <row r="5" spans="1:20" ht="18" customHeight="1" x14ac:dyDescent="0.2">
      <c r="A5" s="61">
        <v>1</v>
      </c>
      <c r="B5" s="61">
        <v>2</v>
      </c>
      <c r="C5" s="61">
        <v>3</v>
      </c>
      <c r="D5" s="61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12</v>
      </c>
      <c r="L5" s="57">
        <v>13</v>
      </c>
      <c r="M5" s="57">
        <v>14</v>
      </c>
      <c r="N5" s="57">
        <v>15</v>
      </c>
      <c r="O5" s="57">
        <v>16</v>
      </c>
      <c r="P5" s="57">
        <v>17</v>
      </c>
      <c r="Q5" s="57">
        <v>18</v>
      </c>
      <c r="R5" s="57">
        <v>19</v>
      </c>
      <c r="S5" s="57">
        <v>20</v>
      </c>
      <c r="T5" s="57">
        <v>21</v>
      </c>
    </row>
    <row r="6" spans="1:20" ht="13.5" customHeight="1" x14ac:dyDescent="0.2">
      <c r="A6" s="143" t="str">
        <f>'[1]1. охват организованым питанием'!A6</f>
        <v xml:space="preserve"> </v>
      </c>
      <c r="B6" s="143" t="str">
        <f>'[1]1. охват организованым питанием'!B6</f>
        <v xml:space="preserve"> </v>
      </c>
      <c r="C6" s="85"/>
      <c r="D6" s="54"/>
      <c r="E6" s="93" t="s">
        <v>20</v>
      </c>
      <c r="F6" s="93" t="s">
        <v>58</v>
      </c>
      <c r="G6" s="94" t="s">
        <v>13</v>
      </c>
      <c r="H6" s="93" t="s">
        <v>20</v>
      </c>
      <c r="I6" s="93" t="s">
        <v>58</v>
      </c>
      <c r="J6" s="93" t="s">
        <v>13</v>
      </c>
      <c r="K6" s="93" t="s">
        <v>58</v>
      </c>
      <c r="L6" s="93" t="s">
        <v>13</v>
      </c>
      <c r="M6" s="93" t="s">
        <v>58</v>
      </c>
      <c r="N6" s="93" t="s">
        <v>13</v>
      </c>
      <c r="O6" s="93" t="s">
        <v>58</v>
      </c>
      <c r="P6" s="93" t="s">
        <v>13</v>
      </c>
      <c r="Q6" s="93" t="s">
        <v>58</v>
      </c>
      <c r="R6" s="93" t="s">
        <v>13</v>
      </c>
      <c r="S6" s="93" t="s">
        <v>58</v>
      </c>
      <c r="T6" s="93" t="s">
        <v>13</v>
      </c>
    </row>
    <row r="7" spans="1:20" x14ac:dyDescent="0.2">
      <c r="A7" s="143"/>
      <c r="B7" s="143"/>
      <c r="C7" s="57" t="s">
        <v>47</v>
      </c>
      <c r="D7" s="86">
        <f>'1. охват орг. питанием'!E15</f>
        <v>1218</v>
      </c>
      <c r="E7" s="87" t="e">
        <f>'1. охват орг. питанием'!#REF!</f>
        <v>#REF!</v>
      </c>
      <c r="F7" s="88">
        <f>'1. охват орг. питанием'!F15+'2. охват без предв. заяв.'!F15</f>
        <v>604</v>
      </c>
      <c r="G7" s="95">
        <f>F7/$D7</f>
        <v>0.49589490968801314</v>
      </c>
      <c r="H7" s="87" t="e">
        <f>'1. охват орг. питанием'!#REF!</f>
        <v>#REF!</v>
      </c>
      <c r="I7" s="88">
        <f>'1. охват орг. питанием'!H15+'2. охват без предв. заяв.'!H15</f>
        <v>614</v>
      </c>
      <c r="J7" s="95">
        <f>I7/$D7</f>
        <v>0.50410509031198691</v>
      </c>
      <c r="K7" s="88">
        <f>'1. охват орг. питанием'!J15+'2. охват без предв. заяв.'!J15</f>
        <v>0</v>
      </c>
      <c r="L7" s="95">
        <f>K7/$D7</f>
        <v>0</v>
      </c>
      <c r="M7" s="88">
        <f>'1. охват орг. питанием'!L15+'3. Бесплатное питание'!AA15</f>
        <v>0</v>
      </c>
      <c r="N7" s="95">
        <f>M7/$D7</f>
        <v>0</v>
      </c>
      <c r="O7" s="88">
        <f>M7+K7+I7+F7</f>
        <v>1218</v>
      </c>
      <c r="P7" s="95">
        <f>O7/$D7</f>
        <v>1</v>
      </c>
      <c r="Q7" s="88">
        <f>'2. охват без предв. заяв.'!N15</f>
        <v>0</v>
      </c>
      <c r="R7" s="95">
        <f>Q7/$D7</f>
        <v>0</v>
      </c>
      <c r="S7" s="88">
        <f>O7+Q7</f>
        <v>1218</v>
      </c>
      <c r="T7" s="95">
        <f>S7/$D7</f>
        <v>1</v>
      </c>
    </row>
    <row r="8" spans="1:20" x14ac:dyDescent="0.2">
      <c r="A8" s="143"/>
      <c r="B8" s="143"/>
      <c r="C8" s="57" t="s">
        <v>48</v>
      </c>
      <c r="D8" s="86">
        <f>'1. охват орг. питанием'!E25</f>
        <v>1044</v>
      </c>
      <c r="E8" s="87" t="e">
        <f>'1. охват орг. питанием'!#REF!</f>
        <v>#REF!</v>
      </c>
      <c r="F8" s="88">
        <f>'1. охват орг. питанием'!F25+'2. охват без предв. заяв.'!F25+'3. Бесплатное питание'!T25</f>
        <v>531</v>
      </c>
      <c r="G8" s="95">
        <f t="shared" ref="G8:G10" si="0">F8/$D8</f>
        <v>0.50862068965517238</v>
      </c>
      <c r="H8" s="87" t="e">
        <f>'1. охват орг. питанием'!#REF!</f>
        <v>#REF!</v>
      </c>
      <c r="I8" s="88">
        <f>'1. охват орг. питанием'!H25+'2. охват без предв. заяв.'!H25+'3. Бесплатное питание'!U25</f>
        <v>302</v>
      </c>
      <c r="J8" s="95">
        <f t="shared" ref="J8:J10" si="1">I8/$D8</f>
        <v>0.28927203065134099</v>
      </c>
      <c r="K8" s="88">
        <f>'1. охват орг. питанием'!J25+'2. охват без предв. заяв.'!J25+'3. Бесплатное питание'!Z25+'3. Бесплатное питание'!AI25</f>
        <v>49</v>
      </c>
      <c r="L8" s="95">
        <f t="shared" ref="L8:L10" si="2">K8/$D8</f>
        <v>4.6934865900383142E-2</v>
      </c>
      <c r="M8" s="88">
        <f>'1. охват орг. питанием'!L25+'3. Бесплатное питание'!AA25+'3. Бесплатное питание'!AM25</f>
        <v>0</v>
      </c>
      <c r="N8" s="95">
        <f t="shared" ref="N8:N10" si="3">M8/$D8</f>
        <v>0</v>
      </c>
      <c r="O8" s="88">
        <f>F8+I8+K8+M8</f>
        <v>882</v>
      </c>
      <c r="P8" s="95">
        <f t="shared" ref="P8:P10" si="4">O8/$D8</f>
        <v>0.84482758620689657</v>
      </c>
      <c r="Q8" s="88">
        <f>'2. охват без предв. заяв.'!N25</f>
        <v>0</v>
      </c>
      <c r="R8" s="95">
        <f t="shared" ref="R8:R10" si="5">Q8/$D8</f>
        <v>0</v>
      </c>
      <c r="S8" s="88">
        <f>O8+Q8</f>
        <v>882</v>
      </c>
      <c r="T8" s="95">
        <f t="shared" ref="T8:T10" si="6">S8/$D8</f>
        <v>0.84482758620689657</v>
      </c>
    </row>
    <row r="9" spans="1:20" x14ac:dyDescent="0.2">
      <c r="A9" s="143"/>
      <c r="B9" s="143"/>
      <c r="C9" s="57" t="s">
        <v>49</v>
      </c>
      <c r="D9" s="86">
        <f>'1. охват орг. питанием'!E28</f>
        <v>81</v>
      </c>
      <c r="E9" s="87" t="e">
        <f>'1. охват орг. питанием'!#REF!</f>
        <v>#REF!</v>
      </c>
      <c r="F9" s="88">
        <f>'1. охват орг. питанием'!F28+'2. охват без предв. заяв.'!F28+'3. Бесплатное питание'!T28</f>
        <v>77</v>
      </c>
      <c r="G9" s="95">
        <f t="shared" si="0"/>
        <v>0.95061728395061729</v>
      </c>
      <c r="H9" s="88" t="e">
        <f>'1. охват орг. питанием'!#REF!</f>
        <v>#REF!</v>
      </c>
      <c r="I9" s="88">
        <f>'1. охват орг. питанием'!H28+'2. охват без предв. заяв.'!H28+'3. Бесплатное питание'!U28</f>
        <v>0</v>
      </c>
      <c r="J9" s="95">
        <f t="shared" si="1"/>
        <v>0</v>
      </c>
      <c r="K9" s="88">
        <f>'1. охват орг. питанием'!J28+'2. охват без предв. заяв.'!J28+'3. Бесплатное питание'!Z28+'3. Бесплатное питание'!AI28</f>
        <v>0</v>
      </c>
      <c r="L9" s="95">
        <f t="shared" si="2"/>
        <v>0</v>
      </c>
      <c r="M9" s="88">
        <f>'1. охват орг. питанием'!L28+'3. Бесплатное питание'!AA28+'3. Бесплатное питание'!AM28</f>
        <v>0</v>
      </c>
      <c r="N9" s="95">
        <f t="shared" si="3"/>
        <v>0</v>
      </c>
      <c r="O9" s="88">
        <f>F9+I9+K9+M9</f>
        <v>77</v>
      </c>
      <c r="P9" s="95">
        <f t="shared" si="4"/>
        <v>0.95061728395061729</v>
      </c>
      <c r="Q9" s="88">
        <f>'2. охват без предв. заяв.'!N28</f>
        <v>0</v>
      </c>
      <c r="R9" s="95">
        <f t="shared" si="5"/>
        <v>0</v>
      </c>
      <c r="S9" s="88">
        <f>O9+Q9</f>
        <v>77</v>
      </c>
      <c r="T9" s="95">
        <f t="shared" si="6"/>
        <v>0.95061728395061729</v>
      </c>
    </row>
    <row r="10" spans="1:20" ht="15.75" customHeight="1" x14ac:dyDescent="0.2">
      <c r="A10" s="144"/>
      <c r="B10" s="144"/>
      <c r="C10" s="57" t="s">
        <v>0</v>
      </c>
      <c r="D10" s="88">
        <f>SUM(D7:D9)</f>
        <v>2343</v>
      </c>
      <c r="E10" s="87" t="e">
        <f>AVERAGEIF(E7:E9,"&lt;&gt;0")</f>
        <v>#REF!</v>
      </c>
      <c r="F10" s="88">
        <f>SUM(F7:F9)</f>
        <v>1212</v>
      </c>
      <c r="G10" s="95">
        <f t="shared" si="0"/>
        <v>0.51728553137003841</v>
      </c>
      <c r="H10" s="87" t="e">
        <f>AVERAGEIF(H7:H9,"&lt;&gt;0")</f>
        <v>#REF!</v>
      </c>
      <c r="I10" s="88">
        <f>SUM(I7:I9)</f>
        <v>916</v>
      </c>
      <c r="J10" s="95">
        <f t="shared" si="1"/>
        <v>0.39095177123346136</v>
      </c>
      <c r="K10" s="88">
        <f>SUM(K7:K9)</f>
        <v>49</v>
      </c>
      <c r="L10" s="95">
        <f t="shared" si="2"/>
        <v>2.0913358941527956E-2</v>
      </c>
      <c r="M10" s="88">
        <f>SUM(M7:M9)</f>
        <v>0</v>
      </c>
      <c r="N10" s="95">
        <f t="shared" si="3"/>
        <v>0</v>
      </c>
      <c r="O10" s="88">
        <f>SUM(O7:O9)</f>
        <v>2177</v>
      </c>
      <c r="P10" s="95">
        <f t="shared" si="4"/>
        <v>0.92915066154502779</v>
      </c>
      <c r="Q10" s="88">
        <f>SUM(Q7:Q9)</f>
        <v>0</v>
      </c>
      <c r="R10" s="95">
        <f t="shared" si="5"/>
        <v>0</v>
      </c>
      <c r="S10" s="88">
        <f>O10+Q10</f>
        <v>2177</v>
      </c>
      <c r="T10" s="95">
        <f t="shared" si="6"/>
        <v>0.92915066154502779</v>
      </c>
    </row>
    <row r="12" spans="1:20" ht="22.5" customHeight="1" x14ac:dyDescent="0.2">
      <c r="B12" s="145" t="s">
        <v>50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</row>
    <row r="14" spans="1:20" x14ac:dyDescent="0.2">
      <c r="A14" s="139" t="s">
        <v>64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1:20" x14ac:dyDescent="0.2">
      <c r="F15" s="81" t="s">
        <v>65</v>
      </c>
      <c r="P15" s="81" t="s">
        <v>66</v>
      </c>
    </row>
    <row r="21" ht="14.25" customHeight="1" x14ac:dyDescent="0.2"/>
  </sheetData>
  <sheetProtection password="DEC0" sheet="1" objects="1" scenarios="1" formatRows="0" insertColumns="0" insertRows="0" insertHyperlinks="0" deleteColumns="0" deleteRows="0" selectLockedCells="1" sort="0" autoFilter="0" pivotTables="0" selectUnlockedCells="1"/>
  <customSheetViews>
    <customSheetView guid="{F5FAE67C-CEE2-4A2A-9069-07B5744A8E99}">
      <selection activeCell="U11" sqref="U11"/>
      <pageMargins left="0.25" right="0.25" top="0.75" bottom="0.75" header="0.3" footer="0.3"/>
      <pageSetup paperSize="9" orientation="landscape" r:id="rId1"/>
    </customSheetView>
  </customSheetViews>
  <mergeCells count="13">
    <mergeCell ref="A14:T14"/>
    <mergeCell ref="A1:T1"/>
    <mergeCell ref="S4:T4"/>
    <mergeCell ref="H4:J4"/>
    <mergeCell ref="A6:A10"/>
    <mergeCell ref="B6:B10"/>
    <mergeCell ref="B12:T12"/>
    <mergeCell ref="A2:R2"/>
    <mergeCell ref="E4:G4"/>
    <mergeCell ref="Q4:R4"/>
    <mergeCell ref="O4:P4"/>
    <mergeCell ref="M4:N4"/>
    <mergeCell ref="K4:L4"/>
  </mergeCells>
  <phoneticPr fontId="1" type="noConversion"/>
  <conditionalFormatting sqref="G7:G10 J7:J10 L7:L10 N7:N10 P7:P10 R7:R10 T7:T10">
    <cfRule type="cellIs" dxfId="0" priority="1" operator="greaterThan">
      <formula>1</formula>
    </cfRule>
  </conditionalFormatting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5" sqref="K15"/>
    </sheetView>
  </sheetViews>
  <sheetFormatPr defaultRowHeight="15" x14ac:dyDescent="0.2"/>
  <cols>
    <col min="1" max="2" width="5.42578125" style="11" customWidth="1"/>
    <col min="3" max="3" width="14.5703125" style="11" customWidth="1"/>
    <col min="4" max="6" width="8.85546875" style="11" customWidth="1"/>
    <col min="7" max="7" width="9.140625" style="11"/>
    <col min="8" max="10" width="5.5703125" style="11" customWidth="1"/>
    <col min="11" max="11" width="6.28515625" style="11" customWidth="1"/>
    <col min="12" max="12" width="7" style="11" customWidth="1"/>
    <col min="13" max="13" width="11.85546875" style="11" customWidth="1"/>
    <col min="14" max="14" width="10.85546875" style="11" customWidth="1"/>
    <col min="15" max="15" width="10.140625" style="11" customWidth="1"/>
    <col min="16" max="16" width="9.7109375" style="11" customWidth="1"/>
    <col min="17" max="18" width="9.42578125" style="11" customWidth="1"/>
    <col min="19" max="19" width="9.7109375" style="11" customWidth="1"/>
    <col min="20" max="20" width="6" style="11" customWidth="1"/>
    <col min="21" max="21" width="10.7109375" style="11" customWidth="1"/>
    <col min="22" max="22" width="5.85546875" style="11" customWidth="1"/>
    <col min="23" max="24" width="9.140625" style="11"/>
    <col min="25" max="25" width="9.42578125" style="11" customWidth="1"/>
    <col min="26" max="26" width="9.140625" style="11"/>
    <col min="27" max="27" width="10.85546875" style="11" bestFit="1" customWidth="1"/>
    <col min="28" max="16384" width="9.140625" style="11"/>
  </cols>
  <sheetData>
    <row r="1" spans="1:27" x14ac:dyDescent="0.2">
      <c r="C1" s="12" t="s">
        <v>62</v>
      </c>
    </row>
    <row r="2" spans="1:27" x14ac:dyDescent="0.2">
      <c r="A2" s="148" t="s">
        <v>115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7" x14ac:dyDescent="0.2">
      <c r="A3" s="4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7" ht="29.25" customHeight="1" x14ac:dyDescent="0.2">
      <c r="A4" s="153" t="s">
        <v>14</v>
      </c>
      <c r="B4" s="153" t="s">
        <v>24</v>
      </c>
      <c r="C4" s="155" t="s">
        <v>12</v>
      </c>
      <c r="D4" s="156" t="s">
        <v>61</v>
      </c>
      <c r="E4" s="150" t="s">
        <v>29</v>
      </c>
      <c r="F4" s="150"/>
      <c r="G4" s="150"/>
      <c r="H4" s="150"/>
      <c r="I4" s="150" t="s">
        <v>68</v>
      </c>
      <c r="J4" s="150"/>
      <c r="K4" s="150" t="s">
        <v>78</v>
      </c>
      <c r="L4" s="157"/>
      <c r="M4" s="150" t="s">
        <v>30</v>
      </c>
      <c r="N4" s="150"/>
      <c r="O4" s="150"/>
      <c r="P4" s="150"/>
      <c r="Q4" s="150"/>
      <c r="R4" s="150"/>
      <c r="S4" s="150"/>
      <c r="T4" s="150"/>
      <c r="U4" s="150" t="s">
        <v>31</v>
      </c>
      <c r="V4" s="150" t="s">
        <v>13</v>
      </c>
      <c r="W4" s="150" t="s">
        <v>51</v>
      </c>
      <c r="X4" s="150"/>
      <c r="Y4" s="154"/>
      <c r="Z4" s="154"/>
      <c r="AA4" s="151" t="s">
        <v>101</v>
      </c>
    </row>
    <row r="5" spans="1:27" ht="104.25" customHeight="1" x14ac:dyDescent="0.2">
      <c r="A5" s="153"/>
      <c r="B5" s="153"/>
      <c r="C5" s="155"/>
      <c r="D5" s="156"/>
      <c r="E5" s="45" t="s">
        <v>39</v>
      </c>
      <c r="F5" s="45" t="s">
        <v>40</v>
      </c>
      <c r="G5" s="45" t="s">
        <v>41</v>
      </c>
      <c r="H5" s="45" t="s">
        <v>13</v>
      </c>
      <c r="I5" s="45" t="s">
        <v>69</v>
      </c>
      <c r="J5" s="45" t="s">
        <v>13</v>
      </c>
      <c r="K5" s="45" t="s">
        <v>69</v>
      </c>
      <c r="L5" s="45" t="s">
        <v>13</v>
      </c>
      <c r="M5" s="45" t="s">
        <v>32</v>
      </c>
      <c r="N5" s="45" t="s">
        <v>33</v>
      </c>
      <c r="O5" s="45" t="s">
        <v>34</v>
      </c>
      <c r="P5" s="45" t="s">
        <v>35</v>
      </c>
      <c r="Q5" s="45" t="s">
        <v>36</v>
      </c>
      <c r="R5" s="45" t="s">
        <v>72</v>
      </c>
      <c r="S5" s="45" t="s">
        <v>37</v>
      </c>
      <c r="T5" s="45" t="s">
        <v>13</v>
      </c>
      <c r="U5" s="150"/>
      <c r="V5" s="150"/>
      <c r="W5" s="45" t="s">
        <v>52</v>
      </c>
      <c r="X5" s="45" t="s">
        <v>53</v>
      </c>
      <c r="Y5" s="61" t="s">
        <v>18</v>
      </c>
      <c r="Z5" s="45" t="s">
        <v>73</v>
      </c>
      <c r="AA5" s="152"/>
    </row>
    <row r="6" spans="1:27" x14ac:dyDescent="0.2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  <c r="Q6" s="72">
        <v>17</v>
      </c>
      <c r="R6" s="72">
        <v>18</v>
      </c>
      <c r="S6" s="72">
        <v>19</v>
      </c>
      <c r="T6" s="72">
        <v>20</v>
      </c>
      <c r="U6" s="72">
        <v>21</v>
      </c>
      <c r="V6" s="72">
        <v>22</v>
      </c>
      <c r="W6" s="72">
        <v>23</v>
      </c>
      <c r="X6" s="72">
        <v>24</v>
      </c>
      <c r="Y6" s="72">
        <v>25</v>
      </c>
      <c r="Z6" s="72">
        <v>26</v>
      </c>
      <c r="AA6" s="72">
        <v>27</v>
      </c>
    </row>
    <row r="7" spans="1:27" ht="17.25" customHeight="1" x14ac:dyDescent="0.2">
      <c r="A7" s="66"/>
      <c r="B7" s="67"/>
      <c r="C7" s="64" t="s">
        <v>21</v>
      </c>
      <c r="D7" s="13">
        <f>'1. охват орг. питанием'!E15</f>
        <v>1218</v>
      </c>
      <c r="E7" s="13">
        <f>'3. Бесплатное питание'!F15</f>
        <v>54</v>
      </c>
      <c r="F7" s="13">
        <f>'3. Бесплатное питание'!G15</f>
        <v>57</v>
      </c>
      <c r="G7" s="13">
        <f>SUM(E7:F7)</f>
        <v>111</v>
      </c>
      <c r="H7" s="14">
        <f>G7/D7*100</f>
        <v>9.1133004926108381</v>
      </c>
      <c r="I7" s="14">
        <f>'3. Бесплатное питание'!X15</f>
        <v>18</v>
      </c>
      <c r="J7" s="14">
        <f>I7/D7*100</f>
        <v>1.4778325123152709</v>
      </c>
      <c r="K7" s="14">
        <f>'3. Бесплатное питание'!AI15+'3. Бесплатное питание'!AK15+'3. Бесплатное питание'!AM15</f>
        <v>0</v>
      </c>
      <c r="L7" s="14">
        <f>K7/D7*100</f>
        <v>0</v>
      </c>
      <c r="M7" s="13">
        <f>'3. Бесплатное питание'!J15</f>
        <v>0</v>
      </c>
      <c r="N7" s="13">
        <f>'3. Бесплатное питание'!K15</f>
        <v>1</v>
      </c>
      <c r="O7" s="13">
        <f>'3. Бесплатное питание'!L15</f>
        <v>2</v>
      </c>
      <c r="P7" s="13">
        <f>'3. Бесплатное питание'!M15</f>
        <v>2</v>
      </c>
      <c r="Q7" s="13">
        <f>'3. Бесплатное питание'!N15</f>
        <v>72</v>
      </c>
      <c r="R7" s="13">
        <f>'3. Бесплатное питание'!O15</f>
        <v>0</v>
      </c>
      <c r="S7" s="13">
        <f>SUM(M7:R7)</f>
        <v>77</v>
      </c>
      <c r="T7" s="14">
        <f>S7/D7*100</f>
        <v>6.3218390804597711</v>
      </c>
      <c r="U7" s="14">
        <f>S7+K7+I7+G7</f>
        <v>206</v>
      </c>
      <c r="V7" s="14">
        <f>U7/D7*100</f>
        <v>16.912972085385878</v>
      </c>
      <c r="W7" s="13">
        <f>'3. Бесплатное питание'!T15</f>
        <v>80</v>
      </c>
      <c r="X7" s="13">
        <f>'3. Бесплатное питание'!U15</f>
        <v>108</v>
      </c>
      <c r="Y7" s="62">
        <f>'3. Бесплатное питание'!Z15+'3. Бесплатное питание'!AI15</f>
        <v>18</v>
      </c>
      <c r="Z7" s="63">
        <f>'3. Бесплатное питание'!AA15+'3. Бесплатное питание'!AK15+'3. Бесплатное питание'!AM15</f>
        <v>0</v>
      </c>
      <c r="AA7" s="63">
        <f>'3. Бесплатное питание'!AD15+'3. Бесплатное питание'!AP15</f>
        <v>0</v>
      </c>
    </row>
    <row r="8" spans="1:27" ht="17.25" customHeight="1" x14ac:dyDescent="0.2">
      <c r="A8" s="68"/>
      <c r="B8" s="69"/>
      <c r="C8" s="64" t="s">
        <v>44</v>
      </c>
      <c r="D8" s="13">
        <f>'1. охват орг. питанием'!E25</f>
        <v>1044</v>
      </c>
      <c r="E8" s="13">
        <f>'3. Бесплатное питание'!F25</f>
        <v>73</v>
      </c>
      <c r="F8" s="13">
        <f>'3. Бесплатное питание'!G25</f>
        <v>134</v>
      </c>
      <c r="G8" s="13">
        <f>SUM(E8:F8)</f>
        <v>207</v>
      </c>
      <c r="H8" s="14">
        <f>G8/D8*100</f>
        <v>19.827586206896552</v>
      </c>
      <c r="I8" s="14">
        <f>'3. Бесплатное питание'!X25</f>
        <v>34</v>
      </c>
      <c r="J8" s="14">
        <f>I8/D8*100</f>
        <v>3.2567049808429118</v>
      </c>
      <c r="K8" s="14">
        <f>'3. Бесплатное питание'!AI25+'3. Бесплатное питание'!AK25+'3. Бесплатное питание'!AM25</f>
        <v>0</v>
      </c>
      <c r="L8" s="14">
        <f>K8/D8*100</f>
        <v>0</v>
      </c>
      <c r="M8" s="13">
        <f>'3. Бесплатное питание'!J25</f>
        <v>4</v>
      </c>
      <c r="N8" s="13">
        <f>'3. Бесплатное питание'!K25</f>
        <v>3</v>
      </c>
      <c r="O8" s="13">
        <f>'3. Бесплатное питание'!L25</f>
        <v>5</v>
      </c>
      <c r="P8" s="13">
        <f>'3. Бесплатное питание'!M25</f>
        <v>8</v>
      </c>
      <c r="Q8" s="13">
        <f>'3. Бесплатное питание'!N25</f>
        <v>107</v>
      </c>
      <c r="R8" s="13">
        <f>'3. Бесплатное питание'!O25</f>
        <v>0</v>
      </c>
      <c r="S8" s="13">
        <f>SUM(M8:R8)</f>
        <v>127</v>
      </c>
      <c r="T8" s="14">
        <f>S8/D8*100</f>
        <v>12.164750957854405</v>
      </c>
      <c r="U8" s="14">
        <f>S8+K8+I8+G8</f>
        <v>368</v>
      </c>
      <c r="V8" s="14">
        <f>U8/D8*100</f>
        <v>35.249042145593869</v>
      </c>
      <c r="W8" s="13">
        <f>'3. Бесплатное питание'!T25</f>
        <v>205</v>
      </c>
      <c r="X8" s="13">
        <f>'3. Бесплатное питание'!U25</f>
        <v>129</v>
      </c>
      <c r="Y8" s="62">
        <f>'3. Бесплатное питание'!Z25+'3. Бесплатное питание'!AI25</f>
        <v>34</v>
      </c>
      <c r="Z8" s="63">
        <f>'3. Бесплатное питание'!AA25+'3. Бесплатное питание'!AK25+'3. Бесплатное питание'!AM25</f>
        <v>0</v>
      </c>
      <c r="AA8" s="63">
        <f>'3. Бесплатное питание'!AD25+'3. Бесплатное питание'!AP25</f>
        <v>3</v>
      </c>
    </row>
    <row r="9" spans="1:27" ht="17.25" customHeight="1" x14ac:dyDescent="0.2">
      <c r="A9" s="68"/>
      <c r="B9" s="69"/>
      <c r="C9" s="65" t="s">
        <v>67</v>
      </c>
      <c r="D9" s="13">
        <f>'1. охват орг. питанием'!E28</f>
        <v>81</v>
      </c>
      <c r="E9" s="13">
        <f>'3. Бесплатное питание'!F28</f>
        <v>8</v>
      </c>
      <c r="F9" s="13">
        <f>'3. Бесплатное питание'!G28</f>
        <v>5</v>
      </c>
      <c r="G9" s="13">
        <f>SUM(E9:F9)</f>
        <v>13</v>
      </c>
      <c r="H9" s="14">
        <f>G9/D9*100</f>
        <v>16.049382716049383</v>
      </c>
      <c r="I9" s="14">
        <f>'3. Бесплатное питание'!X28</f>
        <v>0</v>
      </c>
      <c r="J9" s="14">
        <f>I9/D9*100</f>
        <v>0</v>
      </c>
      <c r="K9" s="14">
        <f>'3. Бесплатное питание'!AI28+'3. Бесплатное питание'!AK28+'3. Бесплатное питание'!AM28</f>
        <v>0</v>
      </c>
      <c r="L9" s="14">
        <f>K9/D9*100</f>
        <v>0</v>
      </c>
      <c r="M9" s="13">
        <f>'3. Бесплатное питание'!J28</f>
        <v>0</v>
      </c>
      <c r="N9" s="13">
        <f>'3. Бесплатное питание'!K28</f>
        <v>0</v>
      </c>
      <c r="O9" s="13">
        <f>'3. Бесплатное питание'!L28</f>
        <v>0</v>
      </c>
      <c r="P9" s="13">
        <f>'3. Бесплатное питание'!M28</f>
        <v>0</v>
      </c>
      <c r="Q9" s="13">
        <f>'3. Бесплатное питание'!N28</f>
        <v>13</v>
      </c>
      <c r="R9" s="13">
        <f>'3. Бесплатное питание'!O28</f>
        <v>0</v>
      </c>
      <c r="S9" s="13">
        <f>SUM(M9:R9)</f>
        <v>13</v>
      </c>
      <c r="T9" s="14">
        <f>S9/D9*100</f>
        <v>16.049382716049383</v>
      </c>
      <c r="U9" s="14">
        <f>S9+K9+I9+G9</f>
        <v>26</v>
      </c>
      <c r="V9" s="14">
        <f>U9/D9*100</f>
        <v>32.098765432098766</v>
      </c>
      <c r="W9" s="13">
        <f>'3. Бесплатное питание'!T28</f>
        <v>26</v>
      </c>
      <c r="X9" s="13">
        <f>'3. Бесплатное питание'!U28</f>
        <v>0</v>
      </c>
      <c r="Y9" s="62">
        <f>'3. Бесплатное питание'!Z28+'3. Бесплатное питание'!AI28</f>
        <v>0</v>
      </c>
      <c r="Z9" s="63">
        <f>'3. Бесплатное питание'!AA28+'3. Бесплатное питание'!AK28+'3. Бесплатное питание'!AM28</f>
        <v>0</v>
      </c>
      <c r="AA9" s="63">
        <f>'3. Бесплатное питание'!AD28+'3. Бесплатное питание'!AP28</f>
        <v>0</v>
      </c>
    </row>
    <row r="10" spans="1:27" ht="17.25" customHeight="1" x14ac:dyDescent="0.2">
      <c r="A10" s="70"/>
      <c r="B10" s="71"/>
      <c r="C10" s="65" t="s">
        <v>38</v>
      </c>
      <c r="D10" s="13">
        <f>SUM(D7:D9)</f>
        <v>2343</v>
      </c>
      <c r="E10" s="13">
        <f>SUM(E7:E9)</f>
        <v>135</v>
      </c>
      <c r="F10" s="13">
        <f>SUM(F7:F9)</f>
        <v>196</v>
      </c>
      <c r="G10" s="13">
        <f>SUM(G7:G9)</f>
        <v>331</v>
      </c>
      <c r="H10" s="14">
        <f>G10/D10*100</f>
        <v>14.127187366623986</v>
      </c>
      <c r="I10" s="14">
        <f>SUM(I7:I9)</f>
        <v>52</v>
      </c>
      <c r="J10" s="14">
        <f>I10/D10*100</f>
        <v>2.2193768672641911</v>
      </c>
      <c r="K10" s="14">
        <f>SUM(K7:K9)</f>
        <v>0</v>
      </c>
      <c r="L10" s="14">
        <f>K10/D10*100</f>
        <v>0</v>
      </c>
      <c r="M10" s="13">
        <f t="shared" ref="M10:R10" si="0">SUM(M7:M9)</f>
        <v>4</v>
      </c>
      <c r="N10" s="13">
        <f t="shared" si="0"/>
        <v>4</v>
      </c>
      <c r="O10" s="13">
        <f t="shared" si="0"/>
        <v>7</v>
      </c>
      <c r="P10" s="13">
        <f t="shared" si="0"/>
        <v>10</v>
      </c>
      <c r="Q10" s="13">
        <f t="shared" si="0"/>
        <v>192</v>
      </c>
      <c r="R10" s="13">
        <f t="shared" si="0"/>
        <v>0</v>
      </c>
      <c r="S10" s="13">
        <f>SUM(M10:R10)</f>
        <v>217</v>
      </c>
      <c r="T10" s="14">
        <f>S10/D10*100</f>
        <v>9.2616303883909517</v>
      </c>
      <c r="U10" s="14">
        <f>S10+I10+G10</f>
        <v>600</v>
      </c>
      <c r="V10" s="14">
        <f>U10/D10*100</f>
        <v>25.608194622279129</v>
      </c>
      <c r="W10" s="13">
        <f>SUM(W7:W9)</f>
        <v>311</v>
      </c>
      <c r="X10" s="13">
        <f>SUM(X7:X9)</f>
        <v>237</v>
      </c>
      <c r="Y10" s="13">
        <f>SUM(Y7:Y9)</f>
        <v>52</v>
      </c>
      <c r="Z10" s="13">
        <f>SUM(Z7:Z9)</f>
        <v>0</v>
      </c>
      <c r="AA10" s="13">
        <f>SUM(AA7:AA9)</f>
        <v>3</v>
      </c>
    </row>
    <row r="12" spans="1:27" x14ac:dyDescent="0.25">
      <c r="C12" s="48" t="s">
        <v>50</v>
      </c>
      <c r="D12" s="48"/>
      <c r="E12" s="48"/>
      <c r="F12" s="46"/>
      <c r="G12" s="46"/>
    </row>
    <row r="13" spans="1:27" x14ac:dyDescent="0.25">
      <c r="C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7" x14ac:dyDescent="0.25">
      <c r="C14" s="47"/>
      <c r="D14" s="47"/>
      <c r="E14" s="47"/>
      <c r="F14" s="50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7" x14ac:dyDescent="0.25">
      <c r="C15" s="47"/>
      <c r="G15" s="47"/>
      <c r="H15" s="47"/>
      <c r="I15" s="47"/>
      <c r="J15" s="47"/>
      <c r="K15" s="47"/>
      <c r="L15" s="47"/>
      <c r="M15" s="47"/>
      <c r="N15" s="47"/>
      <c r="O15" s="49"/>
      <c r="P15" s="47"/>
      <c r="Q15" s="47"/>
      <c r="R15" s="47"/>
      <c r="S15" s="47"/>
      <c r="T15" s="47"/>
      <c r="U15" s="47"/>
    </row>
    <row r="16" spans="1:27" x14ac:dyDescent="0.25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7:7" x14ac:dyDescent="0.25">
      <c r="G17" s="51"/>
    </row>
  </sheetData>
  <sheetProtection formatRows="0" insertColumns="0" insertRows="0" insertHyperlinks="0" deleteColumns="0" deleteRows="0" selectLockedCells="1" sort="0" autoFilter="0" pivotTables="0" selectUnlockedCells="1"/>
  <customSheetViews>
    <customSheetView guid="{F5FAE67C-CEE2-4A2A-9069-07B5744A8E99}">
      <pane xSplit="3" ySplit="6" topLeftCell="D7" activePane="bottomRight" state="frozen"/>
      <selection pane="bottomRight" activeCell="K15" sqref="K15"/>
      <pageMargins left="0.7" right="0.7" top="0.75" bottom="0.75" header="0.3" footer="0.3"/>
      <pageSetup paperSize="9" orientation="portrait" horizontalDpi="0" verticalDpi="0" r:id="rId1"/>
    </customSheetView>
  </customSheetViews>
  <mergeCells count="13">
    <mergeCell ref="A2:Y2"/>
    <mergeCell ref="V4:V5"/>
    <mergeCell ref="U4:U5"/>
    <mergeCell ref="AA4:AA5"/>
    <mergeCell ref="I4:J4"/>
    <mergeCell ref="A4:A5"/>
    <mergeCell ref="B4:B5"/>
    <mergeCell ref="W4:Z4"/>
    <mergeCell ref="C4:C5"/>
    <mergeCell ref="D4:D5"/>
    <mergeCell ref="E4:H4"/>
    <mergeCell ref="M4:T4"/>
    <mergeCell ref="K4:L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7" sqref="D7"/>
    </sheetView>
  </sheetViews>
  <sheetFormatPr defaultRowHeight="12.75" x14ac:dyDescent="0.2"/>
  <cols>
    <col min="1" max="2" width="11" bestFit="1" customWidth="1"/>
  </cols>
  <sheetData>
    <row r="1" spans="1:6" x14ac:dyDescent="0.2">
      <c r="A1" s="103" t="s">
        <v>108</v>
      </c>
    </row>
    <row r="2" spans="1:6" ht="48.75" customHeight="1" x14ac:dyDescent="0.2">
      <c r="B2" s="158" t="s">
        <v>109</v>
      </c>
      <c r="C2" s="158"/>
      <c r="D2" s="158"/>
      <c r="E2" s="106"/>
      <c r="F2" s="106"/>
    </row>
    <row r="3" spans="1:6" ht="48.75" customHeight="1" x14ac:dyDescent="0.2">
      <c r="B3" s="159" t="s">
        <v>117</v>
      </c>
      <c r="C3" s="159"/>
      <c r="D3" s="159"/>
      <c r="E3" s="106"/>
      <c r="F3" s="106"/>
    </row>
    <row r="4" spans="1:6" ht="39.75" customHeight="1" x14ac:dyDescent="0.2">
      <c r="B4" s="104"/>
      <c r="C4" s="104" t="s">
        <v>110</v>
      </c>
      <c r="D4" s="104" t="s">
        <v>111</v>
      </c>
    </row>
    <row r="5" spans="1:6" x14ac:dyDescent="0.2">
      <c r="B5" s="104" t="s">
        <v>112</v>
      </c>
      <c r="C5" s="105">
        <v>85</v>
      </c>
      <c r="D5" s="105">
        <v>95</v>
      </c>
    </row>
    <row r="6" spans="1:6" x14ac:dyDescent="0.2">
      <c r="B6" s="104" t="s">
        <v>113</v>
      </c>
      <c r="C6" s="105">
        <v>85</v>
      </c>
      <c r="D6" s="105">
        <v>95</v>
      </c>
    </row>
    <row r="10" spans="1:6" x14ac:dyDescent="0.2">
      <c r="B10" s="159" t="s">
        <v>118</v>
      </c>
      <c r="C10" s="159"/>
      <c r="D10" s="159"/>
    </row>
    <row r="11" spans="1:6" x14ac:dyDescent="0.2">
      <c r="B11" s="104"/>
      <c r="C11" s="104" t="s">
        <v>110</v>
      </c>
      <c r="D11" s="104" t="s">
        <v>111</v>
      </c>
    </row>
    <row r="12" spans="1:6" x14ac:dyDescent="0.2">
      <c r="B12" s="104" t="s">
        <v>112</v>
      </c>
      <c r="C12" s="105">
        <v>95</v>
      </c>
      <c r="D12" s="105">
        <v>108</v>
      </c>
    </row>
    <row r="13" spans="1:6" x14ac:dyDescent="0.2">
      <c r="B13" s="104" t="s">
        <v>113</v>
      </c>
      <c r="C13" s="105">
        <v>95</v>
      </c>
      <c r="D13" s="105">
        <v>108</v>
      </c>
    </row>
  </sheetData>
  <customSheetViews>
    <customSheetView guid="{F5FAE67C-CEE2-4A2A-9069-07B5744A8E99}">
      <selection activeCell="H7" sqref="H7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B2:D2"/>
    <mergeCell ref="B3:D3"/>
    <mergeCell ref="B10:D10"/>
  </mergeCell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охват орг. питанием</vt:lpstr>
      <vt:lpstr>2. охват без предв. заяв.</vt:lpstr>
      <vt:lpstr>3. Бесплатное питание</vt:lpstr>
      <vt:lpstr>4. показатели эффективности</vt:lpstr>
      <vt:lpstr>5. эффективность  питания</vt:lpstr>
      <vt:lpstr>6. Цена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Оксана</cp:lastModifiedBy>
  <cp:lastPrinted>2021-03-10T06:55:56Z</cp:lastPrinted>
  <dcterms:created xsi:type="dcterms:W3CDTF">2008-10-13T10:00:50Z</dcterms:created>
  <dcterms:modified xsi:type="dcterms:W3CDTF">2021-04-06T09:54:07Z</dcterms:modified>
</cp:coreProperties>
</file>